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cuments\FCM Files\"/>
    </mc:Choice>
  </mc:AlternateContent>
  <workbookProtection workbookAlgorithmName="SHA-512" workbookHashValue="dFXmr7YIX0EWVFt4+Rk1P0Qz8ECda5GrCmsmSOrWxpl3qwtjH8h5azvVeHGplWTojhX5NOP1SimJ4nqIlZ8AmQ==" workbookSaltValue="zXqxxTjEjxuA6f1E7vV2hg==" workbookSpinCount="100000" lockStructure="1"/>
  <bookViews>
    <workbookView xWindow="4200" yWindow="4200" windowWidth="32385" windowHeight="15315"/>
  </bookViews>
  <sheets>
    <sheet name="F30 3-Series Sedan" sheetId="3" r:id="rId1"/>
    <sheet name="F31 3-Series Wagon" sheetId="8" r:id="rId2"/>
    <sheet name="F32 4-Series Coupe" sheetId="4" r:id="rId3"/>
    <sheet name="F36 4-Series Gran Coupe" sheetId="9" r:id="rId4"/>
    <sheet name="F34 3-Series Gran Turismo" sheetId="10" r:id="rId5"/>
    <sheet name="_SSC" sheetId="2" state="veryHidden" r:id="rId6"/>
  </sheets>
  <definedNames>
    <definedName name="_Ctrl_1" hidden="1">#REF!</definedName>
    <definedName name="_Ctrl_10" hidden="1">#REF!</definedName>
    <definedName name="_Ctrl_11" hidden="1">#REF!</definedName>
    <definedName name="_Ctrl_12" hidden="1">#REF!</definedName>
    <definedName name="_Ctrl_13" hidden="1">#REF!</definedName>
    <definedName name="_Ctrl_14" hidden="1">#REF!</definedName>
    <definedName name="_Ctrl_15" hidden="1">#REF!</definedName>
    <definedName name="_Ctrl_16" hidden="1">#REF!</definedName>
    <definedName name="_Ctrl_17" hidden="1">#REF!</definedName>
    <definedName name="_Ctrl_18" hidden="1">#REF!</definedName>
    <definedName name="_Ctrl_19" hidden="1">#REF!</definedName>
    <definedName name="_Ctrl_2" hidden="1">#REF!</definedName>
    <definedName name="_Ctrl_20" hidden="1">#REF!</definedName>
    <definedName name="_Ctrl_21" hidden="1">#REF!</definedName>
    <definedName name="_Ctrl_22" hidden="1">#REF!</definedName>
    <definedName name="_Ctrl_23" hidden="1">#REF!</definedName>
    <definedName name="_Ctrl_24" hidden="1">#REF!</definedName>
    <definedName name="_Ctrl_25" hidden="1">#REF!</definedName>
    <definedName name="_Ctrl_3" hidden="1">#REF!</definedName>
    <definedName name="_Ctrl_4" hidden="1">#REF!</definedName>
    <definedName name="_Ctrl_5" hidden="1">#REF!</definedName>
    <definedName name="_Ctrl_6" hidden="1">#REF!</definedName>
    <definedName name="_Ctrl_7" hidden="1">#REF!</definedName>
    <definedName name="_Ctrl_8" hidden="1">#REF!</definedName>
    <definedName name="_Ctrl_9" hidden="1">#REF!</definedName>
    <definedName name="_inputcolorcell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3" l="1"/>
  <c r="AE5" i="10"/>
  <c r="AD5" i="10"/>
  <c r="AE3" i="10"/>
  <c r="AD3" i="10"/>
  <c r="D16" i="10"/>
  <c r="AD19" i="10" s="1"/>
  <c r="AE15" i="10"/>
  <c r="AD15" i="10"/>
  <c r="AB15" i="10"/>
  <c r="AA15" i="10"/>
  <c r="D15" i="10"/>
  <c r="AB19" i="10" s="1"/>
  <c r="D16" i="9"/>
  <c r="AE19" i="9" s="1"/>
  <c r="AE15" i="9"/>
  <c r="AD15" i="9"/>
  <c r="O14" i="9" s="1"/>
  <c r="AB15" i="9"/>
  <c r="AA15" i="9"/>
  <c r="O13" i="9" s="1"/>
  <c r="D15" i="9"/>
  <c r="AA19" i="9" s="1"/>
  <c r="AE5" i="9"/>
  <c r="AD5" i="9"/>
  <c r="AE4" i="9"/>
  <c r="AD4" i="9"/>
  <c r="AE3" i="9"/>
  <c r="AD3" i="9"/>
  <c r="AE2" i="9"/>
  <c r="AD2" i="9"/>
  <c r="AE19" i="3"/>
  <c r="O14" i="10" l="1"/>
  <c r="B22" i="10" s="1"/>
  <c r="O13" i="10"/>
  <c r="C21" i="10" s="1"/>
  <c r="AA19" i="10"/>
  <c r="AE19" i="10"/>
  <c r="B21" i="9"/>
  <c r="C22" i="9"/>
  <c r="AD19" i="9"/>
  <c r="B22" i="9" s="1"/>
  <c r="D22" i="9" s="1"/>
  <c r="E22" i="9" s="1"/>
  <c r="AB19" i="9"/>
  <c r="C21" i="9" s="1"/>
  <c r="AD19" i="3"/>
  <c r="D21" i="9" l="1"/>
  <c r="E21" i="9" s="1"/>
  <c r="C22" i="10"/>
  <c r="D22" i="10"/>
  <c r="E22" i="10" s="1"/>
  <c r="B21" i="10"/>
  <c r="D21" i="10" s="1"/>
  <c r="E21" i="10" s="1"/>
  <c r="AE3" i="8" l="1"/>
  <c r="AD3" i="8"/>
  <c r="D16" i="8"/>
  <c r="AD19" i="8" s="1"/>
  <c r="AE15" i="8"/>
  <c r="AD15" i="8"/>
  <c r="O14" i="8" s="1"/>
  <c r="AB15" i="8"/>
  <c r="AA15" i="8"/>
  <c r="D15" i="8"/>
  <c r="AB19" i="8" s="1"/>
  <c r="D15" i="4"/>
  <c r="D16" i="4"/>
  <c r="AE19" i="4" s="1"/>
  <c r="AA15" i="4"/>
  <c r="AD19" i="4" l="1"/>
  <c r="O13" i="8"/>
  <c r="AE19" i="8"/>
  <c r="C22" i="8" s="1"/>
  <c r="B22" i="8"/>
  <c r="AA19" i="8"/>
  <c r="C21" i="8" l="1"/>
  <c r="B21" i="8"/>
  <c r="D22" i="8"/>
  <c r="E22" i="8" s="1"/>
  <c r="D21" i="8" l="1"/>
  <c r="E21" i="8" s="1"/>
  <c r="AE15" i="4"/>
  <c r="AB15" i="4"/>
  <c r="AD15" i="4" l="1"/>
  <c r="O14" i="4" s="1"/>
  <c r="B22" i="4" l="1"/>
  <c r="O13" i="4"/>
  <c r="C22" i="4"/>
  <c r="AE15" i="3"/>
  <c r="AD15" i="3"/>
  <c r="AB15" i="3"/>
  <c r="AA15" i="3"/>
  <c r="O13" i="3" s="1"/>
  <c r="D22" i="4" l="1"/>
  <c r="E22" i="4" s="1"/>
  <c r="O14" i="3"/>
  <c r="D15" i="3" l="1"/>
  <c r="C22" i="3" s="1"/>
  <c r="AE4" i="3"/>
  <c r="AD4" i="3"/>
  <c r="AD6" i="3"/>
  <c r="AD5" i="3"/>
  <c r="AD3" i="3"/>
  <c r="AD2" i="3"/>
  <c r="AD5" i="4"/>
  <c r="AD4" i="4"/>
  <c r="AD3" i="4"/>
  <c r="AD2" i="4"/>
  <c r="B22" i="3" l="1"/>
  <c r="D22" i="3" s="1"/>
  <c r="E22" i="3" s="1"/>
  <c r="AA19" i="3"/>
  <c r="B21" i="3" s="1"/>
  <c r="AE2" i="4" l="1"/>
  <c r="AE5" i="4"/>
  <c r="AE4" i="4"/>
  <c r="AE3" i="4"/>
  <c r="AB19" i="4" l="1"/>
  <c r="C21" i="4" s="1"/>
  <c r="AA19" i="4"/>
  <c r="B21" i="4" s="1"/>
  <c r="AE2" i="3"/>
  <c r="AE3" i="3"/>
  <c r="AE5" i="3"/>
  <c r="AE6" i="3"/>
  <c r="D21" i="4" l="1"/>
  <c r="E21" i="4" s="1"/>
  <c r="AB19" i="3"/>
  <c r="C21" i="3" s="1"/>
  <c r="D21" i="3" s="1"/>
  <c r="E21" i="3" s="1"/>
</calcChain>
</file>

<file path=xl/sharedStrings.xml><?xml version="1.0" encoding="utf-8"?>
<sst xmlns="http://schemas.openxmlformats.org/spreadsheetml/2006/main" count="731" uniqueCount="175">
  <si>
    <t>Bounce frequency (Hz)</t>
  </si>
  <si>
    <t>Flat Ride or Pitch?</t>
  </si>
  <si>
    <t xml:space="preserve">Front </t>
  </si>
  <si>
    <t>Rear</t>
  </si>
  <si>
    <t>R/F</t>
  </si>
  <si>
    <t>Sway bar motion ratios</t>
  </si>
  <si>
    <t>Front</t>
  </si>
  <si>
    <t>_Ctrl_1</t>
  </si>
  <si>
    <t>{"WidgetClassification":3,"State":1,"HyperlinkFlavor":1,"Placement":0,"LinkTarget":0,"CellName":"_Ctrl_1","CellAddress":"='FRC_Fiat_500_Abarth'!$I$3","WidgetName":8,"HiddenRow":1,"SheetCodeName":null,"ControlId":"FCM_Contact"}</t>
  </si>
  <si>
    <t>Ratio, Bounce Freq (Hz)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</si>
  <si>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firefox.exe"}],"ConversionPath":"C:\\Users\\laptop\\Documents\\SpreadsheetConverter"},"AdvancedSettingsModels":[],"Dropbox":{"AccessToken":"","AccessSecret":""},"SpreadsheetServer":{"Username":"","Password":"","ServerUrl":""},"ConfigureSubmitDefault":{"Email":"info@fatcatmotorsports.com"},"MessageBubble":{"Close":false,"TopMsg":0},"CustomizeTheme":{"Theme":""},"QrSetting":{"ShowOnConversion":true},"CongratsPage":{"LastOpenedVersion":""},"LocalWebServer":{"Port":"8889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</t>
  </si>
  <si>
    <t>_Ctrl_2</t>
  </si>
  <si>
    <t>_Ctrl_3</t>
  </si>
  <si>
    <t>{"WidgetClassification":0,"State":1,"IsRequired":false,"IsMultiline":false,"IsHidden":false,"Placeholder":"","InputType":0,"Rows":3,"IsMergeJustify":false,"CellName":"_Ctrl_3","CellAddress":"='FRC_Fiat_500_Abarth'!$T$8","WidgetName":4,"HiddenRow":3,"SheetCodeName":null,"ControlId":"Comments"}</t>
  </si>
  <si>
    <t>{"WidgetClassification":0,"State":1,"IsRequired":false,"IsMultiline":false,"IsHidden":false,"Placeholder":"","InputType":0,"Rows":3,"IsMergeJustify":false,"CellName":"_Ctrl_2","CellAddress":"='FRC_Fiat_500_Abarth'!$T$9","WidgetName":4,"HiddenRow":2,"SheetCodeName":null,"ControlId":"Comments"}</t>
  </si>
  <si>
    <t>_Ctrl_4</t>
  </si>
  <si>
    <t>{"WidgetClassification":0,"State":1,"IsRequired":false,"IsMultiline":false,"IsHidden":false,"Placeholder":"","InputType":0,"Rows":3,"IsMergeJustify":false,"CellName":"_Ctrl_4","CellAddress":"='FRC_Fiat_500_Abarth'!$T$10","WidgetName":4,"HiddenRow":4,"SheetCodeName":null,"ControlId":null}</t>
  </si>
  <si>
    <t>_Ctrl_5</t>
  </si>
  <si>
    <t>{"WidgetClassification":0,"State":1,"IsRequired":false,"IsMultiline":false,"IsHidden":false,"Placeholder":"","InputType":0,"Rows":3,"IsMergeJustify":false,"CellName":"_Ctrl_5","CellAddress":"='FRC_Fiat_500_Abarth'!$T$11","WidgetName":4,"HiddenRow":5,"SheetCodeName":null,"ControlId":null}</t>
  </si>
  <si>
    <t>_Ctrl_6</t>
  </si>
  <si>
    <t>{"WidgetClassification":0,"State":1,"IsRequired":false,"IsMultiline":false,"IsHidden":false,"Placeholder":"","InputType":0,"Rows":3,"IsMergeJustify":false,"CellName":"_Ctrl_6","CellAddress":"='FRC_Fiat_500_Abarth'!$T$12","WidgetName":4,"HiddenRow":6,"SheetCodeName":null,"ControlId":null}</t>
  </si>
  <si>
    <t>_Ctrl_7</t>
  </si>
  <si>
    <t>{"WidgetClassification":0,"State":1,"IsRequired":false,"IsMultiline":false,"IsHidden":false,"Placeholder":"","InputType":0,"Rows":3,"IsMergeJustify":false,"CellName":"_Ctrl_7","CellAddress":"='FRC_Fiat_500_Abarth'!$T$13","WidgetName":4,"HiddenRow":7,"SheetCodeName":null,"ControlId":null}</t>
  </si>
  <si>
    <t>_Ctrl_8</t>
  </si>
  <si>
    <t>{"WidgetClassification":0,"State":1,"IsRequired":false,"IsMultiline":false,"IsHidden":false,"Placeholder":"","InputType":0,"Rows":3,"IsMergeJustify":false,"CellName":"_Ctrl_8","CellAddress":"='FRC_Fiat_500_Abarth'!$T$14","WidgetName":4,"HiddenRow":8,"SheetCodeName":null,"ControlId":null}</t>
  </si>
  <si>
    <t>_Ctrl_9</t>
  </si>
  <si>
    <t>{"WidgetClassification":0,"State":1,"IsRequired":false,"IsMultiline":false,"IsHidden":false,"Placeholder":"","InputType":0,"Rows":3,"IsMergeJustify":false,"CellName":"_Ctrl_9","CellAddress":"='FRC_Fiat_500_Abarth'!$T$15","WidgetName":4,"HiddenRow":9,"SheetCodeName":null,"ControlId":null}</t>
  </si>
  <si>
    <t>_Ctrl_10</t>
  </si>
  <si>
    <t>{"WidgetClassification":0,"State":1,"IsRequired":false,"IsMultiline":false,"IsHidden":false,"Placeholder":"","InputType":0,"Rows":3,"IsMergeJustify":false,"CellName":"_Ctrl_10","CellAddress":"='FRC_Fiat_500_Abarth'!$T$16","WidgetName":4,"HiddenRow":10,"SheetCodeName":null,"ControlId":null}</t>
  </si>
  <si>
    <t>_Ctrl_11</t>
  </si>
  <si>
    <t>{"WidgetClassification":0,"State":1,"IsRequired":false,"IsMultiline":false,"IsHidden":false,"Placeholder":"","InputType":0,"Rows":3,"IsMergeJustify":false,"CellName":"_Ctrl_11","CellAddress":"='FRC_Fiat_500_Abarth'!$T$17","WidgetName":4,"HiddenRow":11,"SheetCodeName":null,"ControlId":null}</t>
  </si>
  <si>
    <t>_Ctrl_12</t>
  </si>
  <si>
    <t>{"WidgetClassification":0,"State":1,"IsRequired":false,"IsMultiline":false,"IsHidden":false,"Placeholder":"","InputType":0,"Rows":3,"IsMergeJustify":false,"CellName":"_Ctrl_12","CellAddress":"='FRC_Fiat_500_Abarth'!$V$22","WidgetName":4,"HiddenRow":12,"SheetCodeName":null,"ControlId":null}</t>
  </si>
  <si>
    <t>_Ctrl_13</t>
  </si>
  <si>
    <t>{"WidgetClassification":0,"State":1,"IsRequired":false,"IsMultiline":false,"IsHidden":false,"Placeholder":"","InputType":0,"Rows":3,"IsMergeJustify":false,"CellName":"_Ctrl_13","CellAddress":"='FRC_Fiat_500_Abarth'!$V$23","WidgetName":4,"HiddenRow":13,"SheetCodeName":null,"ControlId":null}</t>
  </si>
  <si>
    <t>_Ctrl_14</t>
  </si>
  <si>
    <t>{"WidgetClassification":0,"State":1,"IsRequired":false,"IsMultiline":false,"IsHidden":false,"Placeholder":"","InputType":0,"Rows":3,"IsMergeJustify":false,"CellName":"_Ctrl_14","CellAddress":"='FRC_Fiat_500_Abarth'!$V$24","WidgetName":4,"HiddenRow":14,"SheetCodeName":null,"ControlId":null}</t>
  </si>
  <si>
    <t>_Ctrl_15</t>
  </si>
  <si>
    <t>{"WidgetClassification":0,"State":1,"IsRequired":false,"IsMultiline":false,"IsHidden":false,"Placeholder":"","InputType":0,"Rows":3,"IsMergeJustify":false,"CellName":"_Ctrl_15","CellAddress":"='FRC_Fiat_500_Abarth'!$V$25","WidgetName":4,"HiddenRow":15,"SheetCodeName":null,"ControlId":null}</t>
  </si>
  <si>
    <t>_Ctrl_16</t>
  </si>
  <si>
    <t>{"WidgetClassification":0,"State":1,"IsRequired":false,"IsMultiline":false,"IsHidden":false,"Placeholder":"","InputType":0,"Rows":3,"IsMergeJustify":false,"CellName":"_Ctrl_16","CellAddress":"='FRC_Fiat_500_Abarth'!$V$26","WidgetName":4,"HiddenRow":16,"SheetCodeName":null,"ControlId":null}</t>
  </si>
  <si>
    <t>_Ctrl_17</t>
  </si>
  <si>
    <t>{"WidgetClassification":0,"State":1,"IsRequired":false,"IsMultiline":false,"IsHidden":false,"Placeholder":"","InputType":0,"Rows":3,"IsMergeJustify":false,"CellName":"_Ctrl_17","CellAddress":"='FRC_Fiat_500_Abarth'!$X$30","WidgetName":4,"HiddenRow":17,"SheetCodeName":null,"ControlId":null}</t>
  </si>
  <si>
    <t>_Ctrl_18</t>
  </si>
  <si>
    <t>{"WidgetClassification":0,"State":1,"IsRequired":false,"IsMultiline":false,"IsHidden":false,"Placeholder":"","InputType":0,"Rows":3,"IsMergeJustify":false,"CellName":"_Ctrl_18","CellAddress":"='FRC_Fiat_500_Abarth'!$X$31","WidgetName":4,"HiddenRow":18,"SheetCodeName":null,"ControlId":null}</t>
  </si>
  <si>
    <t>_Ctrl_19</t>
  </si>
  <si>
    <t>{"WidgetClassification":0,"State":1,"IsRequired":false,"IsMultiline":false,"IsHidden":false,"Placeholder":"","InputType":0,"Rows":3,"IsMergeJustify":false,"CellName":"_Ctrl_19","CellAddress":"='FRC_Fiat_500_Abarth'!$X$32","WidgetName":4,"HiddenRow":19,"SheetCodeName":null,"ControlId":null}</t>
  </si>
  <si>
    <t>_Ctrl_20</t>
  </si>
  <si>
    <t>{"WidgetClassification":0,"State":1,"IsRequired":false,"IsMultiline":false,"IsHidden":false,"Placeholder":"","InputType":0,"Rows":3,"IsMergeJustify":false,"CellName":"_Ctrl_20","CellAddress":"='FRC_Fiat_500_Abarth'!$X$33","WidgetName":4,"HiddenRow":20,"SheetCodeName":null,"ControlId":null}</t>
  </si>
  <si>
    <t>_Ctrl_21</t>
  </si>
  <si>
    <t>{"WidgetClassification":0,"State":1,"IsRequired":false,"IsMultiline":false,"IsHidden":false,"Placeholder":"","InputType":0,"Rows":3,"IsMergeJustify":false,"CellName":"_Ctrl_21","CellAddress":"='FRC_Fiat_500_Abarth'!$X$34","WidgetName":4,"HiddenRow":21,"SheetCodeName":null,"ControlId":null}</t>
  </si>
  <si>
    <t>_Ctrl_22</t>
  </si>
  <si>
    <t>{"WidgetClassification":0,"State":1,"IsRequired":false,"IsMultiline":false,"IsHidden":false,"Placeholder":"","InputType":0,"Rows":3,"IsMergeJustify":false,"CellName":"_Ctrl_22","CellAddress":"='FRC_Fiat_500_Abarth'!$X$35","WidgetName":4,"HiddenRow":22,"SheetCodeName":null,"ControlId":null}</t>
  </si>
  <si>
    <t>_Ctrl_23</t>
  </si>
  <si>
    <t>{"WidgetClassification":0,"State":1,"IsRequired":false,"IsMultiline":false,"IsHidden":false,"Placeholder":"","InputType":0,"Rows":3,"IsMergeJustify":false,"CellName":"_Ctrl_23","CellAddress":"='FRC_Fiat_500_Abarth'!$X$36","WidgetName":4,"HiddenRow":23,"SheetCodeName":null,"ControlId":null}</t>
  </si>
  <si>
    <t>_Ctrl_24</t>
  </si>
  <si>
    <t>{"WidgetClassification":0,"State":1,"IsRequired":false,"IsMultiline":false,"IsHidden":false,"Placeholder":"","InputType":0,"Rows":3,"IsMergeJustify":false,"CellName":"_Ctrl_24","CellAddress":"='FRC_Fiat_500_Abarth'!$X$37","WidgetName":4,"HiddenRow":24,"SheetCodeName":null,"ControlId":null}</t>
  </si>
  <si>
    <t>_Ctrl_25</t>
  </si>
  <si>
    <t>{"WidgetClassification":0,"State":1,"IsRequired":false,"IsMultiline":false,"IsHidden":false,"Placeholder":"","InputType":0,"Rows":3,"IsMergeJustify":false,"CellName":"_Ctrl_25","CellAddress":"='FRC_Fiat_500_Abarth'!$X$38","WidgetName":4,"HiddenRow":25,"SheetCodeName":null,"ControlId":null}</t>
  </si>
  <si>
    <t>{"InputDetection":0,"RecalcMode":0,"Layout":0,"LayoutSamePagesHeightEnabled":false,"Theme":{"BgColor":"#FFFFFFFF","BgImage":"","InputBorderStyle":2,"AppliedTheme":""},"SmartphoneSettings":{"ViewportLock":true,"UseOldViewEngine":false,"EnableZoom":false,"EnableSwipe":false,"HideToolbar":false,"InheritBackgroundColor":false,"CheckboxFlavor":1,"ShowBubble":false},"Name":"","Flavor":0,"Edition":3,"CopyProtect":{"IsEnabled":false,"DomainName":""},"HideSscPoweredlogo":false,"AspnetConfig":{"BrowseUrl":"http://localhost/ssc","FileExtension":0},"NodeSecureLoginEnabled":false,"SmartphoneTheme":1,"Toolbar":{"Position":1,"IsSubmit":false,"IsPrint":true,"IsPrintAll":false,"IsReset":true,"IsUpdate":true},"ConfigureSubmit":{"IsShowCaptcha":false,"IsUseSscWebServer":true,"ReceiverCode":"info@fatcatmotorsports.com","IsFreeService":false,"IsAdvanceService":true,"IsSecureEmail":false,"IsDemonstrationService":fals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true,"RealtimeSyncEnabled":true,"GoogleAnalyticsTrackingId":"","GoogleApiKey":"","ChartSelected":3,"ChartYAxisFixed":false}</t>
  </si>
  <si>
    <t>{"IsHide":false,"HiddenInExcel":false,"SheetId":-1,"Name":"FRC_BMW_E46_M3","Guid":"4MPHZ4","Index":1,"VisibleRange":"","SheetTheme":{"TabColor":"","BodyColor":"","BodyImage":""}}</t>
  </si>
  <si>
    <t>Rear, OE</t>
  </si>
  <si>
    <t>Rear, c/o</t>
  </si>
  <si>
    <t>Copyright © SHAIKH JALAL AHMAD &amp; ANDREW FONG</t>
  </si>
  <si>
    <t>Vehicle Weight</t>
  </si>
  <si>
    <t>Rear Corner Weight</t>
  </si>
  <si>
    <t>Front Corner Weight</t>
  </si>
  <si>
    <t>Custom</t>
  </si>
  <si>
    <t>Weight Class</t>
  </si>
  <si>
    <t>4 Cyl</t>
  </si>
  <si>
    <t>4 Cyl xDrive</t>
  </si>
  <si>
    <t>6 Cyl</t>
  </si>
  <si>
    <t>6 Cyl xDrive</t>
  </si>
  <si>
    <t>Custom Vehicle Weight</t>
  </si>
  <si>
    <t>-</t>
  </si>
  <si>
    <t xml:space="preserve">Vehicle Suspension Package </t>
  </si>
  <si>
    <t>Base</t>
  </si>
  <si>
    <t>Adaptive-M</t>
  </si>
  <si>
    <t>M-Perf</t>
  </si>
  <si>
    <t>M-Sport / Adaptive-M</t>
  </si>
  <si>
    <t>Custom Spring Rates (lbs/in)</t>
  </si>
  <si>
    <t>Custom Front Spring Rate</t>
  </si>
  <si>
    <t>Custom Rear Spring Rate</t>
  </si>
  <si>
    <t>Unsprung Weight</t>
  </si>
  <si>
    <t xml:space="preserve">Front Weight Dist </t>
  </si>
  <si>
    <t>Custom Vehicle Type</t>
  </si>
  <si>
    <t>4 Cyl eDrive</t>
  </si>
  <si>
    <t>Custom Vehicle Weight (lbs)</t>
  </si>
  <si>
    <t>Driver &amp; Passenger Weight (lb)</t>
  </si>
  <si>
    <t>-For aftermarket suspensions select "Custom" for the suspension package and then manually enter the spring rates under the "Spring Rates" section.</t>
  </si>
  <si>
    <r>
      <rPr>
        <b/>
        <u/>
        <sz val="12"/>
        <color theme="1"/>
        <rFont val="Calibri"/>
        <family val="2"/>
        <scheme val="minor"/>
      </rPr>
      <t>Instructions:</t>
    </r>
    <r>
      <rPr>
        <u/>
        <sz val="12"/>
        <color theme="1"/>
        <rFont val="Calibri"/>
        <family val="2"/>
        <scheme val="minor"/>
      </rPr>
      <t xml:space="preserve"> </t>
    </r>
  </si>
  <si>
    <t>FCM Elite Ride Harmonizer Calculator</t>
  </si>
  <si>
    <t>Notes:</t>
  </si>
  <si>
    <t>Vehicle Weight (lbs)</t>
  </si>
  <si>
    <t>Kit</t>
  </si>
  <si>
    <t>PN/Model</t>
  </si>
  <si>
    <t>E10-20-031-01-22</t>
  </si>
  <si>
    <t>Aftermarket Spring Rates (lbs/in)</t>
  </si>
  <si>
    <t xml:space="preserve">Front Spring Rate </t>
  </si>
  <si>
    <t xml:space="preserve">Rear Spring Rate </t>
  </si>
  <si>
    <t>E10-20-031-04-22</t>
  </si>
  <si>
    <t>E10-20-031-02-22</t>
  </si>
  <si>
    <t>E10-20-031-05-22</t>
  </si>
  <si>
    <t>Bilstein B14 &amp; B16, sDrive &amp; xDrive</t>
  </si>
  <si>
    <t>All</t>
  </si>
  <si>
    <t>BMS MP00</t>
  </si>
  <si>
    <t>BW-116C</t>
  </si>
  <si>
    <t>Ohlins Road &amp; Track, sDrive</t>
  </si>
  <si>
    <t>BC Racing, sDrive &amp; xDrive</t>
  </si>
  <si>
    <t>CKS, sDrive</t>
  </si>
  <si>
    <t>CA Tuned, sDrive</t>
  </si>
  <si>
    <t>Fortune Auto, sDrive</t>
  </si>
  <si>
    <t>Eibach Pro-Kit 4cyl, sDrive</t>
  </si>
  <si>
    <t>Eibach Pro-Kit 4cyl, xDrive &amp; eDrive</t>
  </si>
  <si>
    <t>Eibach Pro-Kit 6cyl, sDrive</t>
  </si>
  <si>
    <t>Eibach Pro-Kit 6cyl, xDrive</t>
  </si>
  <si>
    <t>Bilstein B16 Komfort, sDrive &amp; xDrive</t>
  </si>
  <si>
    <t>4x915R</t>
  </si>
  <si>
    <t>Swift Spec-R 6cyl, sDrive</t>
  </si>
  <si>
    <t>TC Kline SA "Street," sDrive</t>
  </si>
  <si>
    <t>TC Kline DA "Street," sDrive</t>
  </si>
  <si>
    <t>TC Kline SA &amp; DA "Firm," sDrive</t>
  </si>
  <si>
    <t>KW Street Comfort 6cyl, sDrive</t>
  </si>
  <si>
    <t>KW Street Comfort 6cyl, xDrive</t>
  </si>
  <si>
    <t>Godspeed Project, sDrive</t>
  </si>
  <si>
    <t>Godspeed Project, xDrive</t>
  </si>
  <si>
    <t>LS-TS-BW-0011-A</t>
  </si>
  <si>
    <t>LS-TS-BW-0003-A</t>
  </si>
  <si>
    <t>Megan Racing, sDrive</t>
  </si>
  <si>
    <t>MR-LS-BF30</t>
  </si>
  <si>
    <t>Tein Street Advance Z, sDrive</t>
  </si>
  <si>
    <t>Tein Flex Z, sDrive</t>
  </si>
  <si>
    <t>VSGA8-C1AS3</t>
  </si>
  <si>
    <t>GSGA8-91AS3</t>
  </si>
  <si>
    <t>calc1</t>
  </si>
  <si>
    <t>calc2</t>
  </si>
  <si>
    <t>calc3</t>
  </si>
  <si>
    <t>calc4</t>
  </si>
  <si>
    <t>USW</t>
  </si>
  <si>
    <t>FCW</t>
  </si>
  <si>
    <t>RCW</t>
  </si>
  <si>
    <t>SBM</t>
  </si>
  <si>
    <t>DMR</t>
  </si>
  <si>
    <t>SMR</t>
  </si>
  <si>
    <t>Bump1</t>
  </si>
  <si>
    <t>Bump2</t>
  </si>
  <si>
    <t>Natural Frequency Outputs</t>
  </si>
  <si>
    <t>BMW Suspension Configs</t>
  </si>
  <si>
    <t>Custom Suspension Configs</t>
  </si>
  <si>
    <t>Yes</t>
  </si>
  <si>
    <t>No</t>
  </si>
  <si>
    <t>Custom Vehicle Suspension</t>
  </si>
  <si>
    <t>BMW Factory Vehicle Suspension</t>
  </si>
  <si>
    <t>BMW Factory Vehicle Type</t>
  </si>
  <si>
    <t>-Preset spring values for BMW factory configurations may vary slightly on your actual vehicle due to a range used depending on how the vehicle is optioned. Values should be close though.</t>
  </si>
  <si>
    <t xml:space="preserve">Ride Frequency </t>
  </si>
  <si>
    <t>BMW Factory Vehicle Config Weight (lbs)</t>
  </si>
  <si>
    <t>Custom Vehicle Config Weight (lbs)</t>
  </si>
  <si>
    <t>Pri</t>
  </si>
  <si>
    <t>Sec</t>
  </si>
  <si>
    <t>6Cyl xDrive</t>
  </si>
  <si>
    <t>6Cyl RWD</t>
  </si>
  <si>
    <t>4 Cyl RWD</t>
  </si>
  <si>
    <t>Eibach Pro-Kit 4cyl, xDrive</t>
  </si>
  <si>
    <t>E10-20-031-15-22</t>
  </si>
  <si>
    <t>KW V2, xDrive</t>
  </si>
  <si>
    <t>E10-20-031-18-22</t>
  </si>
  <si>
    <t>E10-2-031-02-22</t>
  </si>
  <si>
    <t>-Green cells output to the "BMW Suspension Configs" line for BMW factory vehicle configurations, and blue cells out to the "Custom Suspension Configs" line.</t>
  </si>
  <si>
    <t>-Select vehicle types, add driver/passenger weight, and then select suspension packages equippped on vehicle. Green cells will only show offical BMW configurations, blue cells let you configure whatever suspension you'd like.</t>
  </si>
  <si>
    <t>-If you want to use a custom weight instead of the preset ones included, select "Yes" for the "Use Custom Vehicle Weight &amp; Dist?" field under the "Custom Vehicle Weight" section.</t>
  </si>
  <si>
    <t>Custom Weight Dist. (Front %)</t>
  </si>
  <si>
    <t>Use Custom Vehicle Weight &amp; Dist.?</t>
  </si>
  <si>
    <r>
      <t xml:space="preserve">Visit the FCM Elite contact page below to </t>
    </r>
    <r>
      <rPr>
        <u/>
        <sz val="11"/>
        <rFont val="Calibri"/>
        <family val="2"/>
        <scheme val="minor"/>
      </rPr>
      <t>set up a consultation</t>
    </r>
    <r>
      <rPr>
        <sz val="11"/>
        <rFont val="Calibri"/>
        <family val="2"/>
        <scheme val="minor"/>
      </rPr>
      <t xml:space="preserve"> or to </t>
    </r>
    <r>
      <rPr>
        <u/>
        <sz val="11"/>
        <rFont val="Calibri"/>
        <family val="2"/>
        <scheme val="minor"/>
      </rPr>
      <t>begin an FCM Elite suspension build.</t>
    </r>
    <r>
      <rPr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Experience Ride Harmony and Race Synergy!</t>
    </r>
  </si>
  <si>
    <t>http://www.fatcatmotorsports.com/contact_elite.htm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</si>
</sst>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gradientFill>
        <stop position="0">
          <color theme="9" tint="0.59999389629810485"/>
        </stop>
        <stop position="1">
          <color theme="8" tint="0.40000610370189521"/>
        </stop>
      </gradientFill>
    </fill>
    <fill>
      <gradientFill>
        <stop position="0">
          <color theme="9" tint="0.59999389629810485"/>
        </stop>
        <stop position="1">
          <color theme="8" tint="0.59999389629810485"/>
        </stop>
      </gradientFill>
    </fill>
  </fills>
  <borders count="24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/>
      <bottom/>
      <diagonal/>
    </border>
    <border>
      <left/>
      <right style="medium">
        <color rgb="FF0070C0"/>
      </right>
      <top style="medium">
        <color theme="4"/>
      </top>
      <bottom style="medium">
        <color theme="4"/>
      </bottom>
      <diagonal/>
    </border>
    <border>
      <left style="medium">
        <color rgb="FF0070C0"/>
      </left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2" fontId="0" fillId="0" borderId="19" xfId="0" applyNumberFormat="1" applyBorder="1" applyAlignment="1" applyProtection="1">
      <alignment horizontal="center"/>
      <protection hidden="1"/>
    </xf>
    <xf numFmtId="2" fontId="0" fillId="0" borderId="20" xfId="0" applyNumberFormat="1" applyBorder="1" applyAlignment="1" applyProtection="1">
      <alignment horizontal="center"/>
      <protection hidden="1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0" fillId="0" borderId="17" xfId="0" applyNumberFormat="1" applyBorder="1" applyAlignment="1" applyProtection="1">
      <alignment horizontal="center"/>
      <protection hidden="1"/>
    </xf>
    <xf numFmtId="0" fontId="0" fillId="0" borderId="16" xfId="0" applyBorder="1" applyAlignment="1">
      <alignment vertical="center" wrapText="1"/>
    </xf>
    <xf numFmtId="0" fontId="0" fillId="0" borderId="0" xfId="0" applyNumberFormat="1" applyBorder="1" applyProtection="1">
      <protection hidden="1"/>
    </xf>
    <xf numFmtId="0" fontId="0" fillId="0" borderId="18" xfId="0" applyBorder="1"/>
    <xf numFmtId="0" fontId="0" fillId="0" borderId="13" xfId="0" applyBorder="1"/>
    <xf numFmtId="0" fontId="0" fillId="0" borderId="14" xfId="0" applyBorder="1"/>
    <xf numFmtId="0" fontId="0" fillId="0" borderId="21" xfId="0" applyFill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 vertical="center" wrapText="1"/>
    </xf>
    <xf numFmtId="0" fontId="0" fillId="0" borderId="0" xfId="0" applyFill="1" applyBorder="1"/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0" fillId="0" borderId="16" xfId="0" applyNumberFormat="1" applyBorder="1" applyAlignment="1" applyProtection="1">
      <alignment horizontal="center"/>
      <protection hidden="1"/>
    </xf>
    <xf numFmtId="0" fontId="0" fillId="0" borderId="0" xfId="0" applyAlignment="1">
      <alignment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Protection="1">
      <protection hidden="1"/>
    </xf>
    <xf numFmtId="0" fontId="0" fillId="0" borderId="11" xfId="0" applyBorder="1" applyProtection="1">
      <protection hidden="1"/>
    </xf>
    <xf numFmtId="0" fontId="0" fillId="0" borderId="0" xfId="0" applyNumberForma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164" fontId="0" fillId="0" borderId="0" xfId="0" applyNumberFormat="1" applyBorder="1" applyAlignment="1" applyProtection="1">
      <alignment wrapText="1"/>
      <protection hidden="1"/>
    </xf>
    <xf numFmtId="164" fontId="1" fillId="0" borderId="0" xfId="0" applyNumberFormat="1" applyFont="1" applyBorder="1" applyAlignment="1" applyProtection="1">
      <alignment wrapText="1"/>
      <protection hidden="1"/>
    </xf>
    <xf numFmtId="164" fontId="0" fillId="0" borderId="0" xfId="0" applyNumberFormat="1" applyBorder="1" applyProtection="1">
      <protection hidden="1"/>
    </xf>
    <xf numFmtId="164" fontId="0" fillId="0" borderId="0" xfId="0" applyNumberFormat="1" applyFill="1" applyBorder="1" applyProtection="1">
      <protection hidden="1"/>
    </xf>
    <xf numFmtId="164" fontId="1" fillId="0" borderId="0" xfId="0" applyNumberFormat="1" applyFont="1" applyBorder="1" applyAlignment="1" applyProtection="1">
      <alignment vertical="center" wrapText="1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left"/>
      <protection hidden="1"/>
    </xf>
    <xf numFmtId="164" fontId="1" fillId="0" borderId="0" xfId="0" applyNumberFormat="1" applyFont="1" applyBorder="1" applyAlignment="1" applyProtection="1">
      <alignment horizontal="left"/>
      <protection hidden="1"/>
    </xf>
    <xf numFmtId="164" fontId="1" fillId="0" borderId="0" xfId="0" applyNumberFormat="1" applyFont="1" applyBorder="1" applyProtection="1">
      <protection hidden="1"/>
    </xf>
    <xf numFmtId="164" fontId="0" fillId="0" borderId="0" xfId="0" applyNumberFormat="1" applyFill="1" applyBorder="1" applyAlignment="1" applyProtection="1">
      <alignment horizontal="left"/>
      <protection hidden="1"/>
    </xf>
    <xf numFmtId="164" fontId="0" fillId="0" borderId="0" xfId="0" applyNumberFormat="1" applyBorder="1" applyAlignment="1" applyProtection="1">
      <alignment horizontal="left"/>
      <protection hidden="1"/>
    </xf>
    <xf numFmtId="164" fontId="0" fillId="0" borderId="3" xfId="0" applyNumberFormat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0" fillId="0" borderId="21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4" borderId="9" xfId="0" applyFill="1" applyBorder="1" applyProtection="1">
      <protection hidden="1"/>
    </xf>
    <xf numFmtId="0" fontId="0" fillId="6" borderId="22" xfId="0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3" borderId="0" xfId="0" applyFill="1" applyAlignment="1" applyProtection="1">
      <alignment vertical="top" wrapText="1"/>
      <protection hidden="1"/>
    </xf>
    <xf numFmtId="0" fontId="2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0" fillId="5" borderId="0" xfId="0" quotePrefix="1" applyFill="1" applyProtection="1">
      <protection hidden="1"/>
    </xf>
    <xf numFmtId="0" fontId="2" fillId="0" borderId="0" xfId="0" applyFont="1" applyAlignment="1" applyProtection="1">
      <alignment vertical="top"/>
      <protection hidden="1"/>
    </xf>
    <xf numFmtId="0" fontId="0" fillId="0" borderId="10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2" borderId="17" xfId="0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0" xfId="0" applyFont="1" applyBorder="1" applyProtection="1">
      <protection hidden="1"/>
    </xf>
    <xf numFmtId="164" fontId="0" fillId="0" borderId="3" xfId="0" applyNumberFormat="1" applyBorder="1" applyAlignment="1" applyProtection="1">
      <alignment vertical="center" wrapText="1"/>
      <protection hidden="1"/>
    </xf>
    <xf numFmtId="164" fontId="0" fillId="0" borderId="1" xfId="0" applyNumberFormat="1" applyBorder="1" applyAlignment="1" applyProtection="1">
      <alignment vertical="center"/>
      <protection hidden="1"/>
    </xf>
    <xf numFmtId="164" fontId="0" fillId="0" borderId="3" xfId="0" applyNumberFormat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2" fillId="0" borderId="0" xfId="0" applyFont="1" applyAlignment="1">
      <alignment horizontal="left" vertical="top"/>
    </xf>
    <xf numFmtId="0" fontId="0" fillId="0" borderId="15" xfId="0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horizontal="left" vertical="center" wrapText="1"/>
      <protection hidden="1"/>
    </xf>
    <xf numFmtId="0" fontId="8" fillId="4" borderId="7" xfId="0" applyFont="1" applyFill="1" applyBorder="1" applyAlignment="1" applyProtection="1">
      <alignment horizontal="center" vertical="center" wrapText="1"/>
      <protection hidden="1"/>
    </xf>
    <xf numFmtId="0" fontId="0" fillId="4" borderId="8" xfId="0" applyFill="1" applyBorder="1" applyAlignment="1" applyProtection="1">
      <alignment horizontal="center" vertical="center" wrapText="1"/>
      <protection hidden="1"/>
    </xf>
    <xf numFmtId="0" fontId="0" fillId="4" borderId="6" xfId="0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 applyProtection="1">
      <alignment horizontal="center" wrapText="1"/>
      <protection hidden="1"/>
    </xf>
    <xf numFmtId="0" fontId="0" fillId="4" borderId="8" xfId="0" applyFill="1" applyBorder="1" applyAlignment="1" applyProtection="1">
      <alignment horizontal="center" wrapText="1"/>
      <protection hidden="1"/>
    </xf>
    <xf numFmtId="0" fontId="0" fillId="4" borderId="6" xfId="0" applyFill="1" applyBorder="1" applyAlignment="1" applyProtection="1">
      <alignment horizontal="center" wrapText="1"/>
      <protection hidden="1"/>
    </xf>
    <xf numFmtId="0" fontId="6" fillId="3" borderId="0" xfId="0" applyFont="1" applyFill="1" applyAlignment="1" applyProtection="1">
      <alignment horizontal="left" vertical="top" wrapText="1"/>
      <protection hidden="1"/>
    </xf>
    <xf numFmtId="0" fontId="0" fillId="3" borderId="0" xfId="0" quotePrefix="1" applyFill="1" applyAlignment="1" applyProtection="1">
      <alignment horizontal="left" vertical="top" wrapText="1"/>
      <protection hidden="1"/>
    </xf>
    <xf numFmtId="0" fontId="0" fillId="3" borderId="0" xfId="0" applyFill="1" applyAlignment="1" applyProtection="1">
      <alignment horizontal="left" vertical="top" wrapText="1"/>
      <protection hidden="1"/>
    </xf>
    <xf numFmtId="0" fontId="9" fillId="3" borderId="0" xfId="0" quotePrefix="1" applyFont="1" applyFill="1" applyAlignment="1" applyProtection="1">
      <alignment horizontal="left" vertical="top" wrapText="1"/>
      <protection hidden="1"/>
    </xf>
    <xf numFmtId="0" fontId="0" fillId="0" borderId="21" xfId="0" applyFill="1" applyBorder="1" applyAlignment="1">
      <alignment horizontal="left" vertic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4" borderId="7" xfId="0" applyFont="1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12" fillId="0" borderId="0" xfId="2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3" borderId="0" xfId="0" quotePrefix="1" applyFill="1" applyBorder="1" applyAlignment="1" applyProtection="1">
      <alignment horizontal="left" vertical="top" wrapText="1"/>
      <protection hidden="1"/>
    </xf>
    <xf numFmtId="0" fontId="0" fillId="3" borderId="0" xfId="0" applyFill="1" applyBorder="1" applyAlignment="1" applyProtection="1">
      <alignment horizontal="left" vertical="top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</cellXfs>
  <cellStyles count="3">
    <cellStyle name="Hyperlink" xfId="2" builtinId="8"/>
    <cellStyle name="Normal" xfId="0" builtinId="0"/>
    <cellStyle name="Normal 2" xfId="1"/>
  </cellStyles>
  <dxfs count="40"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tcatmotorsports.com/contact_elite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atcatmotorsports.com/contact_elite.ht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atcatmotorsports.com/contact_elite.ht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fatcatmotorsports.com/contact_elite.ht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fatcatmotorsports.com/contact_elit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zoomScaleNormal="100" workbookViewId="0">
      <selection sqref="A1:F1"/>
    </sheetView>
  </sheetViews>
  <sheetFormatPr defaultRowHeight="15" x14ac:dyDescent="0.25"/>
  <cols>
    <col min="1" max="1" width="25.140625" customWidth="1"/>
    <col min="4" max="4" width="11.42578125" bestFit="1" customWidth="1"/>
    <col min="6" max="6" width="9.140625" customWidth="1"/>
    <col min="7" max="9" width="11.7109375" customWidth="1"/>
    <col min="13" max="13" width="11.85546875" customWidth="1"/>
    <col min="14" max="14" width="20.7109375" customWidth="1"/>
    <col min="27" max="27" width="12.28515625" bestFit="1" customWidth="1"/>
    <col min="28" max="31" width="9.140625" customWidth="1"/>
    <col min="33" max="33" width="11.28515625" customWidth="1"/>
    <col min="37" max="37" width="11.28515625" customWidth="1"/>
    <col min="41" max="41" width="11.28515625" customWidth="1"/>
    <col min="45" max="45" width="11.28515625" customWidth="1"/>
  </cols>
  <sheetData>
    <row r="1" spans="1:48" s="2" customFormat="1" ht="45.75" customHeight="1" thickBot="1" x14ac:dyDescent="0.3">
      <c r="A1" s="90" t="s">
        <v>91</v>
      </c>
      <c r="B1" s="91"/>
      <c r="C1" s="91"/>
      <c r="D1" s="91"/>
      <c r="E1" s="91"/>
      <c r="F1" s="92"/>
      <c r="G1" s="57"/>
      <c r="H1" s="105" t="s">
        <v>173</v>
      </c>
      <c r="I1" s="106"/>
      <c r="J1" s="106"/>
      <c r="K1" s="106"/>
      <c r="L1" s="107"/>
      <c r="M1" s="28"/>
      <c r="N1" s="28"/>
      <c r="O1" s="57"/>
      <c r="P1" s="57"/>
      <c r="Q1" s="57"/>
      <c r="R1" s="57"/>
      <c r="S1" s="57"/>
      <c r="T1" s="25"/>
      <c r="Z1" s="32"/>
      <c r="AA1" s="33" t="s">
        <v>68</v>
      </c>
      <c r="AB1" s="33" t="s">
        <v>64</v>
      </c>
      <c r="AC1" s="33" t="s">
        <v>66</v>
      </c>
      <c r="AD1" s="33" t="s">
        <v>65</v>
      </c>
      <c r="AE1" s="33" t="s">
        <v>84</v>
      </c>
      <c r="AF1" s="33"/>
      <c r="AG1" s="33" t="s">
        <v>162</v>
      </c>
      <c r="AH1" s="33" t="s">
        <v>158</v>
      </c>
      <c r="AI1" s="33" t="s">
        <v>159</v>
      </c>
      <c r="AJ1" s="33"/>
      <c r="AK1" s="33" t="s">
        <v>70</v>
      </c>
      <c r="AL1" s="33" t="s">
        <v>158</v>
      </c>
      <c r="AM1" s="33" t="s">
        <v>159</v>
      </c>
      <c r="AN1" s="33"/>
      <c r="AO1" s="33" t="s">
        <v>161</v>
      </c>
      <c r="AP1" s="33" t="s">
        <v>158</v>
      </c>
      <c r="AQ1" s="33" t="s">
        <v>159</v>
      </c>
      <c r="AR1" s="33"/>
      <c r="AS1" s="33" t="s">
        <v>160</v>
      </c>
      <c r="AT1" s="33" t="s">
        <v>158</v>
      </c>
      <c r="AU1" s="33" t="s">
        <v>159</v>
      </c>
      <c r="AV1" s="32"/>
    </row>
    <row r="2" spans="1:48" ht="15.75" customHeight="1" thickBot="1" x14ac:dyDescent="0.3">
      <c r="A2" s="93" t="s">
        <v>63</v>
      </c>
      <c r="B2" s="94"/>
      <c r="C2" s="94"/>
      <c r="D2" s="94"/>
      <c r="E2" s="94"/>
      <c r="F2" s="95"/>
      <c r="G2" s="28"/>
      <c r="H2" s="108" t="s">
        <v>174</v>
      </c>
      <c r="I2" s="109"/>
      <c r="J2" s="109"/>
      <c r="K2" s="109"/>
      <c r="L2" s="109"/>
      <c r="M2" s="28"/>
      <c r="N2" s="28"/>
      <c r="O2" s="28"/>
      <c r="P2" s="28"/>
      <c r="Q2" s="28"/>
      <c r="R2" s="28"/>
      <c r="S2" s="28"/>
      <c r="Z2" s="34"/>
      <c r="AA2" s="34" t="s">
        <v>69</v>
      </c>
      <c r="AB2" s="34">
        <v>3505</v>
      </c>
      <c r="AC2" s="34">
        <v>870</v>
      </c>
      <c r="AD2" s="34">
        <f>AB2/2-AC2</f>
        <v>882.5</v>
      </c>
      <c r="AE2" s="34">
        <f>AC2*2/AB2</f>
        <v>0.49643366619115548</v>
      </c>
      <c r="AF2" s="34"/>
      <c r="AG2" s="34" t="s">
        <v>76</v>
      </c>
      <c r="AH2" s="34">
        <v>115.2</v>
      </c>
      <c r="AI2" s="34">
        <v>138.76839999999999</v>
      </c>
      <c r="AJ2" s="34"/>
      <c r="AK2" s="34" t="s">
        <v>76</v>
      </c>
      <c r="AL2" s="34">
        <v>119.80799999999999</v>
      </c>
      <c r="AM2" s="34">
        <v>147.44142499999998</v>
      </c>
      <c r="AN2" s="34"/>
      <c r="AO2" s="34" t="s">
        <v>76</v>
      </c>
      <c r="AP2" s="34">
        <v>119.80799999999999</v>
      </c>
      <c r="AQ2" s="34">
        <v>138.76839999999999</v>
      </c>
      <c r="AR2" s="34"/>
      <c r="AS2" s="34" t="s">
        <v>76</v>
      </c>
      <c r="AT2" s="34">
        <v>133.63200000000001</v>
      </c>
      <c r="AU2" s="34">
        <v>147.44142499999998</v>
      </c>
      <c r="AV2" s="34"/>
    </row>
    <row r="3" spans="1:48" ht="15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Z3" s="34"/>
      <c r="AA3" s="34" t="s">
        <v>70</v>
      </c>
      <c r="AB3" s="34">
        <v>3635</v>
      </c>
      <c r="AC3" s="34">
        <v>927</v>
      </c>
      <c r="AD3" s="34">
        <f t="shared" ref="AD3" si="0">AB3/2-AC3</f>
        <v>890.5</v>
      </c>
      <c r="AE3" s="34">
        <f t="shared" ref="AE3" si="1">AC3*2/AB3</f>
        <v>0.51004126547455297</v>
      </c>
      <c r="AF3" s="34"/>
      <c r="AG3" s="34" t="s">
        <v>79</v>
      </c>
      <c r="AH3" s="34">
        <v>138.24</v>
      </c>
      <c r="AI3" s="34">
        <v>168.25668499999998</v>
      </c>
      <c r="AJ3" s="34"/>
      <c r="AK3" s="34" t="s">
        <v>77</v>
      </c>
      <c r="AL3" s="34">
        <v>142.84799999999998</v>
      </c>
      <c r="AM3" s="34">
        <v>168.25668499999998</v>
      </c>
      <c r="AN3" s="34"/>
      <c r="AO3" s="34" t="s">
        <v>79</v>
      </c>
      <c r="AP3" s="34">
        <v>142.84799999999998</v>
      </c>
      <c r="AQ3" s="34">
        <v>168.25668499999998</v>
      </c>
      <c r="AR3" s="34"/>
      <c r="AS3" s="34" t="s">
        <v>77</v>
      </c>
      <c r="AT3" s="34">
        <v>161.28</v>
      </c>
      <c r="AU3" s="34">
        <v>180.39891999999998</v>
      </c>
      <c r="AV3" s="34"/>
    </row>
    <row r="4" spans="1:48" ht="15.75" customHeight="1" x14ac:dyDescent="0.25">
      <c r="A4" s="96" t="s">
        <v>90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58"/>
      <c r="Z4" s="34"/>
      <c r="AA4" s="34" t="s">
        <v>86</v>
      </c>
      <c r="AB4" s="34">
        <v>3900</v>
      </c>
      <c r="AC4" s="34">
        <v>947.5</v>
      </c>
      <c r="AD4" s="34">
        <f t="shared" ref="AD4" si="2">AB4/2-AC4</f>
        <v>1002.5</v>
      </c>
      <c r="AE4" s="34">
        <f t="shared" ref="AE4" si="3">AC4*2/AB4</f>
        <v>0.48589743589743589</v>
      </c>
      <c r="AF4" s="34"/>
      <c r="AG4" s="34" t="s">
        <v>78</v>
      </c>
      <c r="AH4" s="34">
        <v>188.928</v>
      </c>
      <c r="AI4" s="34">
        <v>227.23325499999999</v>
      </c>
      <c r="AJ4" s="34"/>
      <c r="AK4" s="35" t="s">
        <v>138</v>
      </c>
      <c r="AL4" s="34">
        <v>127.82</v>
      </c>
      <c r="AM4" s="35">
        <v>130</v>
      </c>
      <c r="AN4" s="34"/>
      <c r="AO4" s="34" t="s">
        <v>78</v>
      </c>
      <c r="AP4" s="34">
        <v>198.14400000000001</v>
      </c>
      <c r="AQ4" s="34">
        <v>227.23325499999999</v>
      </c>
      <c r="AR4" s="34"/>
      <c r="AS4" s="35" t="s">
        <v>138</v>
      </c>
      <c r="AT4" s="34">
        <v>127.82</v>
      </c>
      <c r="AU4" s="35">
        <v>134.41999999999999</v>
      </c>
      <c r="AV4" s="34"/>
    </row>
    <row r="5" spans="1:48" ht="15.75" customHeight="1" x14ac:dyDescent="0.25">
      <c r="A5" s="99" t="s">
        <v>168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Z5" s="34"/>
      <c r="AA5" s="34" t="s">
        <v>71</v>
      </c>
      <c r="AB5" s="34">
        <v>3605</v>
      </c>
      <c r="AC5" s="34">
        <v>928.5</v>
      </c>
      <c r="AD5" s="34">
        <f>AB5/2-AC5</f>
        <v>874</v>
      </c>
      <c r="AE5" s="34">
        <f>AC5*2/AB5</f>
        <v>0.51511789181692091</v>
      </c>
      <c r="AF5" s="34"/>
      <c r="AG5" s="34" t="s">
        <v>67</v>
      </c>
      <c r="AH5" s="34"/>
      <c r="AI5" s="34"/>
      <c r="AJ5" s="34"/>
      <c r="AK5" s="34"/>
      <c r="AL5" s="34"/>
      <c r="AM5" s="34"/>
      <c r="AN5" s="34"/>
      <c r="AO5" s="35" t="s">
        <v>138</v>
      </c>
      <c r="AP5" s="35">
        <v>119.4</v>
      </c>
      <c r="AQ5" s="35">
        <v>134.41999999999999</v>
      </c>
      <c r="AR5" s="34"/>
      <c r="AS5" s="34"/>
      <c r="AT5" s="34"/>
      <c r="AU5" s="34"/>
      <c r="AV5" s="34"/>
    </row>
    <row r="6" spans="1:48" ht="15.75" customHeight="1" x14ac:dyDescent="0.25">
      <c r="A6" s="97" t="s">
        <v>169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Z6" s="34"/>
      <c r="AA6" s="34" t="s">
        <v>72</v>
      </c>
      <c r="AB6" s="34">
        <v>3820</v>
      </c>
      <c r="AC6" s="34">
        <v>1006.5</v>
      </c>
      <c r="AD6" s="34">
        <f>AB6/2-AC6</f>
        <v>903.5</v>
      </c>
      <c r="AE6" s="34">
        <f>AC6*2/AB6</f>
        <v>0.52696335078534029</v>
      </c>
      <c r="AF6" s="34"/>
      <c r="AG6" s="35" t="s">
        <v>138</v>
      </c>
      <c r="AH6" s="35">
        <v>119.4</v>
      </c>
      <c r="AI6" s="35">
        <v>130</v>
      </c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15.75" customHeight="1" x14ac:dyDescent="0.25">
      <c r="A7" s="110" t="s">
        <v>89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Z7" s="34"/>
      <c r="AA7" s="34" t="s">
        <v>67</v>
      </c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</row>
    <row r="8" spans="1:48" ht="15.75" customHeight="1" x14ac:dyDescent="0.25">
      <c r="A8" s="97" t="s">
        <v>170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Z8" s="34"/>
      <c r="AA8" s="34"/>
      <c r="AB8" s="34"/>
      <c r="AC8" s="34"/>
      <c r="AD8" s="34"/>
      <c r="AE8" s="34"/>
      <c r="AF8" s="34"/>
      <c r="AG8" s="36" t="s">
        <v>86</v>
      </c>
      <c r="AH8" s="33" t="s">
        <v>158</v>
      </c>
      <c r="AI8" s="33" t="s">
        <v>159</v>
      </c>
      <c r="AJ8" s="34"/>
      <c r="AK8" s="36" t="s">
        <v>141</v>
      </c>
      <c r="AL8" s="36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x14ac:dyDescent="0.25">
      <c r="A9" s="59" t="s">
        <v>92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Z9" s="34"/>
      <c r="AA9" s="36" t="s">
        <v>143</v>
      </c>
      <c r="AB9" s="36"/>
      <c r="AC9" s="37"/>
      <c r="AD9" s="36" t="s">
        <v>142</v>
      </c>
      <c r="AE9" s="36"/>
      <c r="AF9" s="34"/>
      <c r="AG9" s="34" t="s">
        <v>76</v>
      </c>
      <c r="AH9" s="34">
        <v>124.416</v>
      </c>
      <c r="AI9" s="34">
        <v>168.25668499999998</v>
      </c>
      <c r="AJ9" s="34"/>
      <c r="AK9" s="38" t="s">
        <v>6</v>
      </c>
      <c r="AL9" s="38">
        <v>0.96</v>
      </c>
      <c r="AM9" s="34"/>
      <c r="AN9" s="34"/>
      <c r="AO9" s="34"/>
      <c r="AP9" s="34"/>
      <c r="AQ9" s="34"/>
      <c r="AR9" s="34"/>
      <c r="AS9" s="34"/>
      <c r="AT9" s="34"/>
      <c r="AU9" s="34"/>
      <c r="AV9" s="34"/>
    </row>
    <row r="10" spans="1:48" x14ac:dyDescent="0.25">
      <c r="A10" s="61" t="s">
        <v>154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Z10" s="34"/>
      <c r="AA10" s="39" t="s">
        <v>6</v>
      </c>
      <c r="AB10" s="39">
        <v>0.96</v>
      </c>
      <c r="AC10" s="39"/>
      <c r="AD10" s="39" t="s">
        <v>6</v>
      </c>
      <c r="AE10" s="39">
        <v>0.96</v>
      </c>
      <c r="AF10" s="34"/>
      <c r="AG10" s="34" t="s">
        <v>79</v>
      </c>
      <c r="AH10" s="34">
        <v>152.06399999999999</v>
      </c>
      <c r="AI10" s="34">
        <v>202.94878499999999</v>
      </c>
      <c r="AJ10" s="34"/>
      <c r="AK10" s="38" t="s">
        <v>3</v>
      </c>
      <c r="AL10" s="38">
        <v>1</v>
      </c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Z11" s="34"/>
      <c r="AA11" s="39" t="s">
        <v>61</v>
      </c>
      <c r="AB11" s="39">
        <v>0.58899999999999997</v>
      </c>
      <c r="AC11" s="39"/>
      <c r="AD11" s="39" t="s">
        <v>3</v>
      </c>
      <c r="AE11" s="39">
        <v>0.84199999999999997</v>
      </c>
      <c r="AF11" s="34"/>
      <c r="AG11" s="34" t="s">
        <v>78</v>
      </c>
      <c r="AH11" s="34">
        <v>211.96799999999999</v>
      </c>
      <c r="AI11" s="34">
        <v>282.74061499999999</v>
      </c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</row>
    <row r="12" spans="1:48" ht="15.75" thickBot="1" x14ac:dyDescent="0.3">
      <c r="A12" s="62" t="s">
        <v>93</v>
      </c>
      <c r="B12" s="28"/>
      <c r="C12" s="28"/>
      <c r="D12" s="28"/>
      <c r="E12" s="28"/>
      <c r="F12" s="47" t="s">
        <v>87</v>
      </c>
      <c r="G12" s="28"/>
      <c r="H12" s="28"/>
      <c r="I12" s="28"/>
      <c r="J12" s="28"/>
      <c r="K12" s="47" t="s">
        <v>75</v>
      </c>
      <c r="L12" s="28"/>
      <c r="M12" s="28"/>
      <c r="N12" s="28"/>
      <c r="O12" s="28"/>
      <c r="P12" s="28"/>
      <c r="Q12" s="47" t="s">
        <v>80</v>
      </c>
      <c r="R12" s="28"/>
      <c r="S12" s="28"/>
      <c r="Z12" s="34"/>
      <c r="AA12" s="39" t="s">
        <v>62</v>
      </c>
      <c r="AB12" s="39">
        <v>0.84199999999999997</v>
      </c>
      <c r="AC12" s="39"/>
      <c r="AD12" s="39"/>
      <c r="AE12" s="39"/>
      <c r="AF12" s="39"/>
      <c r="AG12" s="35" t="s">
        <v>138</v>
      </c>
      <c r="AH12" s="35">
        <v>119.4</v>
      </c>
      <c r="AI12" s="35">
        <v>130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ht="15.75" thickBot="1" x14ac:dyDescent="0.3">
      <c r="A13" s="81" t="s">
        <v>153</v>
      </c>
      <c r="B13" s="82"/>
      <c r="C13" s="82"/>
      <c r="D13" s="76" t="s">
        <v>69</v>
      </c>
      <c r="F13" s="63" t="s">
        <v>85</v>
      </c>
      <c r="G13" s="29"/>
      <c r="H13" s="29"/>
      <c r="I13" s="72" t="s">
        <v>69</v>
      </c>
      <c r="K13" s="85" t="s">
        <v>152</v>
      </c>
      <c r="L13" s="86"/>
      <c r="M13" s="86"/>
      <c r="N13" s="78" t="s">
        <v>76</v>
      </c>
      <c r="O13" s="66" t="str">
        <f>IF(AND(ISNUMBER(AA15),ISNUMBER(AB15)), "Valid", "Invalid")</f>
        <v>Valid</v>
      </c>
      <c r="Q13" s="114" t="s">
        <v>81</v>
      </c>
      <c r="R13" s="115"/>
      <c r="S13" s="115"/>
      <c r="T13" s="79">
        <v>150</v>
      </c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48" ht="15.75" customHeight="1" thickBot="1" x14ac:dyDescent="0.3">
      <c r="A14" s="81" t="s">
        <v>88</v>
      </c>
      <c r="B14" s="82"/>
      <c r="C14" s="82"/>
      <c r="D14" s="77">
        <v>175</v>
      </c>
      <c r="F14" s="64" t="s">
        <v>172</v>
      </c>
      <c r="G14" s="65"/>
      <c r="H14" s="65"/>
      <c r="I14" s="73" t="s">
        <v>150</v>
      </c>
      <c r="K14" s="85" t="s">
        <v>151</v>
      </c>
      <c r="L14" s="86"/>
      <c r="M14" s="86"/>
      <c r="N14" s="75" t="s">
        <v>76</v>
      </c>
      <c r="O14" s="66" t="str">
        <f>IF(AND(ISNUMBER(AD15),ISNUMBER(AE15)), "Valid", "Invalid")</f>
        <v>Valid</v>
      </c>
      <c r="Q14" s="85" t="s">
        <v>82</v>
      </c>
      <c r="R14" s="86"/>
      <c r="S14" s="86"/>
      <c r="T14" s="75">
        <v>500</v>
      </c>
      <c r="Z14" s="34"/>
      <c r="AA14" s="40" t="s">
        <v>134</v>
      </c>
      <c r="AB14" s="41" t="s">
        <v>135</v>
      </c>
      <c r="AC14" s="42"/>
      <c r="AD14" s="40" t="s">
        <v>136</v>
      </c>
      <c r="AE14" s="41" t="s">
        <v>137</v>
      </c>
      <c r="AF14" s="34"/>
      <c r="AG14" s="34" t="s">
        <v>149</v>
      </c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8" ht="15.75" thickBot="1" x14ac:dyDescent="0.3">
      <c r="A15" s="70" t="s">
        <v>156</v>
      </c>
      <c r="B15" s="71"/>
      <c r="C15" s="71"/>
      <c r="D15" s="45">
        <f>IF(D13=AA2,AB2,(IF(D13=AA3,AB3, IF(D13=AA4,AB4,IF(D13=AA5,AB5,IF(D13=AA6,AB6,IF(D13=AA7,I15,"No Value")))))))+D14</f>
        <v>3680</v>
      </c>
      <c r="F15" s="83" t="s">
        <v>73</v>
      </c>
      <c r="G15" s="84"/>
      <c r="H15" s="84"/>
      <c r="I15" s="74">
        <v>4000</v>
      </c>
      <c r="P15" s="8"/>
      <c r="Q15" s="3"/>
      <c r="R15" s="3"/>
      <c r="S15" s="1"/>
      <c r="Z15" s="34"/>
      <c r="AA15" s="34">
        <f>(((IF(AND(D13=AA2,N13=AG2),AH2,IF(AND(D13=AA2,N13=AG3),AH3,IF(AND(D13=AA2,N13=AG4),AH4,IF(AND(D13=AA2,N13=AG5),T13,IF(AND(D13=AA3,N13=AG2),AL2,IF(AND(D13=AA3,N13=AG3),AL3,IF(AND(D13=AA3,N13=AG5),T13,IF(AND(D13=AA5,N13=AG2),AP2,IF(AND(D13=AA5,N13=AG3),AP3,IF(AND(D13=AA5,N13=AG4),AP4,IF(AND(D13=AA5,N13=AG5),T13,IF(AND(D13=AA6,N13=AG2),AT2,IF(AND(D13=AA6,N13=AG3),AT3,IF(AND(D13=AA6,N13=AG5),T13,IF(AND(D13=AA4,N13=AG2),AH9,IF(AND(D13=AA4,N13=AG3),AH10,IF(AND(D13=AA4,N13=AG4),AH11,IF(AND(D13=AA4,N13=AG5),T13,IF(AND(D13=AA7,N13=AG5),T13, IF(AND(D13=AA7,I13=AA2,N13=AG2),AH2, IF(AND(D13=AA7,I13=AA2,N13=AG3),AH3, IF(AND(D13=AA7,I13=AA2,N13=AG4),AH4, IF(AND(D13=AA7,I13=AA2,N13=AG5),T13, IF(AND(D13=AA7,I13=AA3,N13=AG2),AL2, IF(AND(D13=AA7,I13=AA3,N13=AG3),AL3, IF(AND(D13=AA7,I13=AA3,N13=AG5),T13, IF(AND(D13=AA7,I13=AA5,N13=AG2),AP2, IF(AND(D13=AA7,I13=AA5,N13=AG3),AP3, IF(AND(D13=AA7,I13=AA5,N13=AG4),AP4, IF(AND(D13=AA7,I13=AA5,N13=AG5),T13, IF(AND(D13=AA7,I13=AA6,N13=AG2),AT2, IF(AND(D13=AA7,I13=AA6,N13=AG3),AT3, IF(AND(D13=AA7,I13=AA6,N13=AG5),T13, IF(AND(D13=AA7,I13=AA4,N13=AG2),AH9, IF(AND(D13=AA7,I13=AA4,N13=AG3),AH10, IF(AND(D13=AA7,I13=AA4,N13=AG4),AH11, IF(AND(D13=AA7,I13=AA4,N13=AG5),T13,"Invalid Config"))))))))))))))))))))))))))))))))))))))*1.0851))</f>
        <v>125.00351999999999</v>
      </c>
      <c r="AB15" s="34">
        <f>(((IF(AND(D13=AA2,N13=AG2),AI2,IF(AND(D13=AA2,N13=AG3),AI3,IF(AND(D13=AA2,N13=AG4),AI4,IF(AND(D13=AA2,N13=AG5),T14,IF(AND(D13=AA3,N13=AG2),AM2,IF(AND(D13=AA3,N13=AG3),AM3,IF(AND(D13=AA3,N13=AG5),T14,IF(AND(D13=AA5,N13=AG2),AQ2,IF(AND(D13=AA5,N13=AG3),AQ3,IF(AND(D13=AA5,N13=AG4),AQ4,IF(AND(D13=AA5,N13=AG5),T14,IF(AND(D13=AA6,N13=AG2),AU2,IF(AND(D13=AA6,N13=AG3),AU3,IF(AND(D13=AA6,N13=AG5),T14,(IF(AND(D13=AA4,N13=AG2),AI9,IF(AND(D13=AA4,N13=AG3),AI10,IF(AND(D13=AA4,N13=AG4),AI11,IF(AND(D13=AA4,N13=AG5),T14,IF(AND(D13=AA7,I13=AA2,N13=AG2),AI2,IF(AND(D13=AA7,I13=AA2,N13=AG3),AI3,IF(AND(D13=AA7,I13=AA2,N13=AG4),AI4,IF(AND(D13=AA7,I13=AA2,N13=AG5),T14,IF(AND(D13=AA7,I13=AA3,N13=AG2),AM2,IF(AND(D13=AA7,I13=AA3,N13=AG3),AM3,IF(AND(D13=AA7,I13=AA3,N13=AG5),T14,IF(AND(D13=AA7,I13=AA5,N13=AG2),AQ2,IF(AND(D13=AA7,I13=AA5,N13=AG3),AQ3,IF(AND(D13=AA7,I13=AA5,N13=AG4),AQ4,IF(AND(D13=AA7,I13=AA5,N13=AG5),T14,IF(AND(D13=AA7,I13=AA6,N13=AG2),AU2,IF(AND(D13=AA7,I13=AA6,N13=AG3),AU3,IF(AND(D13=AA7,I13=AA6,N13=AG5),T14,IF(AND(D13=AA7,I13=AA4,N13=AG2),AI9,IF(AND(D13=AA7,I13=AA4,N13=AG3),AI10,IF(AND(D13=AA7,I13=AA4,N13=AG4),AI11,IF(AND(D13=AA7,I13=AA4,N13=AG5),T14,"Invalid Config"))))))))))))))))))))))))))))))))))))))*2.8825))</f>
        <v>399.99991299999994</v>
      </c>
      <c r="AC15" s="34"/>
      <c r="AD15" s="34">
        <f>(((IF(AND(I13=AA2,N14=AG2),AH2,IF(AND(I13=AA2,N14=AG3),AH3,IF(AND(I13=AA2,N14=AG4),AH4,IF(AND(I13=AA2,N14=AG5),T13*0.9216,IF(AND(I13=AA3,N14=AG2),AL2,IF(AND(I13=AA3,N14=AG3),AL3,IF(AND(I13=AA3,N14=AG5),T13*0.9216,IF(AND(I13=AA5,N14=AG2),AP2,IF(AND(I13=AA5,N14=AG3),AP3,IF(AND(I13=AA5,N14=AG4),AP4,IF(AND(I13=AA5,N14=AG5),T13*0.9216,IF(AND(I13=AA6,N14=AG2),AT2,IF(AND(I13=AA6,N14=AG3),AT3,IF(AND(I13=AA6,N14=AG5),T13*0.9216,IF(AND(I13=AA4,N14=AG2),AH9,IF(AND(I13=AA4,N14=AG3),AH10,IF(AND(I13=AA4,N14=AG4),AH11,IF(AND(I13=AA4,N14=AG5),T13*0.9216,"Invalid Config"))))))))))))))))))*1.0851)))</f>
        <v>125.00351999999999</v>
      </c>
      <c r="AE15" s="34">
        <f>(((IF(AND(I13=AA2,N14=AG2),AI2,IF(AND(I13=AA2,N14=AG3),AI3,IF(AND(I13=AA2,N14=AG4),AI4,IF(AND(I13=AA2,N14=AG5),T14*0.346921,IF(AND(I13=AA3,N14=AG2),AM2,IF(AND(I13=AA3,N14=AG3),AM3,IF(AND(I13=AA3,N14=AG5),T14*0.346921,IF(AND(I13=AA5,N14=AG2),AQ2,IF(AND(I13=AA5,N14=AG3),AQ3,IF(AND(I13=AA5,N14=AG4),AQ4,IF(AND(I13=AA5,N14=AG5),T14*0.346921,IF(AND(I13=AA6,N14=AG2),AU2,IF(AND(I13=AA6,N14=AG3),AU3,IF(AND(I13=AA6,N14=AG5),T14*0.346921,IF(AND(I13=AA4,N14=AG2),AI9,IF(AND(I13=AA4,N14=AG3),AI10,IF(AND(I13=AA4,N14=AG4),AI11,IF(AND(I13=AA4,N14=AG5),T14*0.346921,"Invalid Config"))))))))))))))))))*2.8825)))</f>
        <v>399.99991299999994</v>
      </c>
      <c r="AF15" s="34"/>
      <c r="AG15" s="34" t="s">
        <v>150</v>
      </c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</row>
    <row r="16" spans="1:48" ht="15.75" thickBot="1" x14ac:dyDescent="0.3">
      <c r="A16" s="34" t="s">
        <v>157</v>
      </c>
      <c r="B16" s="34"/>
      <c r="C16" s="34"/>
      <c r="D16" s="46">
        <f>IF(AND(I13=AA2,I14="No"),AB2,(IF(AND(I13=AA3,I14="No"),AB3,IF(AND(I13=AA4,I14="No"),AB4,IF(AND(I13=AA5,I14="No"),AB5,IF(AND(I13=AA6,I14="No"),AB6,IF(I14="Yes",I15,"No Value")))))))+D14</f>
        <v>3680</v>
      </c>
      <c r="F16" s="88" t="s">
        <v>171</v>
      </c>
      <c r="G16" s="89"/>
      <c r="H16" s="89"/>
      <c r="I16" s="75">
        <v>55</v>
      </c>
      <c r="K16" s="20"/>
      <c r="L16" s="20"/>
      <c r="M16" s="20"/>
      <c r="P16" s="20"/>
      <c r="Q16" s="20"/>
      <c r="R16" s="20"/>
      <c r="Z16" s="34"/>
      <c r="AA16" s="40" t="s">
        <v>144</v>
      </c>
      <c r="AB16" s="41" t="s">
        <v>145</v>
      </c>
      <c r="AC16" s="34"/>
      <c r="AD16" s="43"/>
      <c r="AE16" s="4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x14ac:dyDescent="0.25">
      <c r="F17" s="1"/>
      <c r="G17" s="1"/>
      <c r="H17" s="1"/>
      <c r="Z17" s="34"/>
      <c r="AA17" s="34">
        <v>0</v>
      </c>
      <c r="AB17" s="34">
        <v>0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1:48" ht="15.75" thickBot="1" x14ac:dyDescent="0.3">
      <c r="A18" s="47" t="s">
        <v>155</v>
      </c>
      <c r="B18" s="28"/>
      <c r="C18" s="28"/>
      <c r="D18" s="28"/>
      <c r="E18" s="28"/>
      <c r="G18" s="87" t="s">
        <v>97</v>
      </c>
      <c r="H18" s="87"/>
      <c r="I18" s="87"/>
      <c r="Z18" s="34"/>
      <c r="AA18" s="42" t="s">
        <v>139</v>
      </c>
      <c r="AB18" s="42" t="s">
        <v>140</v>
      </c>
      <c r="AC18" s="34"/>
      <c r="AD18" s="42" t="s">
        <v>139</v>
      </c>
      <c r="AE18" s="42" t="s">
        <v>140</v>
      </c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ht="75.75" thickBot="1" x14ac:dyDescent="0.3">
      <c r="A19" s="48" t="s">
        <v>146</v>
      </c>
      <c r="B19" s="112" t="s">
        <v>0</v>
      </c>
      <c r="C19" s="113"/>
      <c r="D19" s="49" t="s">
        <v>9</v>
      </c>
      <c r="E19" s="50" t="s">
        <v>1</v>
      </c>
      <c r="G19" s="4" t="s">
        <v>94</v>
      </c>
      <c r="H19" s="10" t="s">
        <v>112</v>
      </c>
      <c r="I19" s="10" t="s">
        <v>113</v>
      </c>
      <c r="J19" s="10" t="s">
        <v>114</v>
      </c>
      <c r="K19" s="10" t="s">
        <v>115</v>
      </c>
      <c r="L19" s="10" t="s">
        <v>103</v>
      </c>
      <c r="M19" s="10" t="s">
        <v>116</v>
      </c>
      <c r="N19" s="10" t="s">
        <v>107</v>
      </c>
      <c r="O19" s="10" t="s">
        <v>108</v>
      </c>
      <c r="P19" s="10" t="s">
        <v>109</v>
      </c>
      <c r="Q19" s="10" t="s">
        <v>110</v>
      </c>
      <c r="R19" s="10" t="s">
        <v>111</v>
      </c>
      <c r="S19" s="10" t="s">
        <v>118</v>
      </c>
      <c r="T19" s="10" t="s">
        <v>119</v>
      </c>
      <c r="U19" s="10" t="s">
        <v>120</v>
      </c>
      <c r="V19" s="10" t="s">
        <v>121</v>
      </c>
      <c r="W19" s="10" t="s">
        <v>122</v>
      </c>
      <c r="X19" s="17" t="s">
        <v>123</v>
      </c>
      <c r="Z19" s="34"/>
      <c r="AA19" s="34">
        <f>IF(D13=AA2,D15*AE2/2-AH6,IF(D13=AA3,D15*AE3/2-AL4,IF(D13=AA4, D15*AE4/2-AH12,IF(D13=AA5,D15*AE5/2-AP5,IF(D13=AA6,D15*AE6/2-AT4,IF(AND(D13=AA7,I13=AA2),D15*I16/100/2-AH6,IF(AND(D13=AA7,I13=AA3),D15*I16/100/2-AL4, IF(AND(D13=AA7,I13=AA4),D15*I16/100/2-AH12, IF(AND(D13=AA7,I13=AA5),D15*I16/100/2-AP5)))))))))</f>
        <v>794.03794579172609</v>
      </c>
      <c r="AB19" s="34">
        <f>IF(D13=AA2,D15*(1-AE2)/2-AI6,IF(D13=AA3,D15*(1-AE3)/2-AM4,IF(D13=AA4,D15*(1-AE4)/2-AI12,IF(D13=AA5,D15*(1-AE5)/2-AQ5,IF(D13=AA6,D15*(1-AE6)/2-AU4,IF(AND(D13=AA7,I13=AA2),D15*(100-I16)/100/2-AI6,IF(AND(D13=AA7,I13=AA3),D15*(100-I16)/100/2-AM4,IF(AND(D13=AA7,I13=AA4),D15*(100-I16)/100/2-AI12,IF(AND(D13=AA7,I13=AA5),D15*(100-I16)/100/2-AQ5,IF(AND(D13=AA7,I13=AA6),D15*(100-I16)/100/2-AU4))))))))))</f>
        <v>796.56205420827393</v>
      </c>
      <c r="AC19" s="34"/>
      <c r="AD19" s="34">
        <f>IF(AND(I14="No",I13=AA2),D16*AE2/2-AH6,IF(AND(I14="No",I13=AA3),D16*AE3/2-AL4,IF(AND(I14="No",I13=AA4), D16*AE4/2-AH12,IF(AND(I14="No",I13=AA5),D16*AE5/2-AP5,IF(AND(I14="No",I13=AA6),D16*AE6/2-AT4, IF(AND(I14="Yes",I13=AA2),D16*I16/100/2-AH6,IF(AND(I14="Yes",I13=AA3),D16*I16/100/2-AL4,IF(AND(I14="Yes",I13=AA4),D16*I16/100/2-AH12,IF(AND(I14="Yes",I13=AA5),D16*I16/100/2-AP5,IF(AND(I14="Yes",I13=AA6),D16*I16/100/2-AT4))))))))))</f>
        <v>794.03794579172609</v>
      </c>
      <c r="AE19" s="34">
        <f>IF(AND(I14="No",I13=AA2),D16*(1-AE2)/2-AI6,IF(AND(I14="No",I13=AA3),D16*(1-AE3)/2-AM4,IF(AND(I14="No",I13=AA4), D16*(1-AE4)/2-AI12,IF(AND(I14="No",I13=AA5),D16*(1-AE5)/2-AQ5,IF(AND(I14="No",I13=AA6),D16*(1-AE6)/2-AU4, IF(AND(I14="Yes",I13=AA2),D16*(100-I16)/100/2-AI6,IF(AND(I14="Yes",I13=AA3),D16*(100-I16)/100/2-AM4,IF(AND(I14="Yes",I13=AA4),D16*(100-I16)/100/2-AI12,IF(AND(I14="Yes",I13=AA5),D16*(100-I16)/100/2-AQ5,IF(AND(I14="Yes",I13=AA6),D16*(100-I16)/100/2-AU4))))))))))</f>
        <v>796.56205420827393</v>
      </c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</row>
    <row r="20" spans="1:48" ht="15.75" thickBot="1" x14ac:dyDescent="0.3">
      <c r="A20" s="51"/>
      <c r="B20" s="52" t="s">
        <v>2</v>
      </c>
      <c r="C20" s="53" t="s">
        <v>3</v>
      </c>
      <c r="D20" s="54" t="s">
        <v>4</v>
      </c>
      <c r="E20" s="53"/>
      <c r="G20" s="100" t="s">
        <v>95</v>
      </c>
      <c r="H20" s="101" t="s">
        <v>96</v>
      </c>
      <c r="I20" s="102" t="s">
        <v>100</v>
      </c>
      <c r="J20" s="102" t="s">
        <v>101</v>
      </c>
      <c r="K20" s="102" t="s">
        <v>102</v>
      </c>
      <c r="L20" s="102" t="s">
        <v>104</v>
      </c>
      <c r="M20" s="102" t="s">
        <v>104</v>
      </c>
      <c r="N20" s="102" t="s">
        <v>105</v>
      </c>
      <c r="O20" s="102" t="s">
        <v>104</v>
      </c>
      <c r="P20" s="102" t="s">
        <v>106</v>
      </c>
      <c r="Q20" s="102"/>
      <c r="R20" s="102"/>
      <c r="S20" s="102" t="s">
        <v>117</v>
      </c>
      <c r="T20" s="104"/>
      <c r="U20" s="104"/>
      <c r="V20" s="104"/>
      <c r="W20" s="104"/>
      <c r="X20" s="103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</row>
    <row r="21" spans="1:48" ht="30.75" customHeight="1" thickBot="1" x14ac:dyDescent="0.3">
      <c r="A21" s="55" t="s">
        <v>147</v>
      </c>
      <c r="B21" s="21">
        <f>IF(O13="Valid", PI()*(SQRT( ((AA15+AA17)*(AB10^2) ) / AA19)), "-")</f>
        <v>1.1966347167663587</v>
      </c>
      <c r="C21" s="5">
        <f>IF(O13="Valid", PI()*(SQRT( ((AB15+AB17)*(AB11^2) ) / AB19)), "-")</f>
        <v>1.3112494192888207</v>
      </c>
      <c r="D21" s="6">
        <f>IF(O13="Valid", C21/B21, "-")</f>
        <v>1.09578086020451</v>
      </c>
      <c r="E21" s="9" t="str">
        <f>IF(O13="Valid", IF(ABS(D21)&lt;1,"PITCH","FLAT RIDE"), "-")</f>
        <v>FLAT RIDE</v>
      </c>
      <c r="G21" s="100"/>
      <c r="H21" s="101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4"/>
      <c r="U21" s="104"/>
      <c r="V21" s="104"/>
      <c r="W21" s="104"/>
      <c r="X21" s="103"/>
    </row>
    <row r="22" spans="1:48" ht="30.75" customHeight="1" thickBot="1" x14ac:dyDescent="0.3">
      <c r="A22" s="56" t="s">
        <v>148</v>
      </c>
      <c r="B22" s="21">
        <f>IF(O14="Valid", PI()*(SQRT( ((AD15+AA17)*(AB10^2) ) / AD19)), "-")</f>
        <v>1.1966347167663587</v>
      </c>
      <c r="C22" s="5">
        <f>IF(O14="Valid", PI()*(SQRT( ((AE15+AB17)*(AB11^2) ) / AE19)), "-")</f>
        <v>1.3112494192888207</v>
      </c>
      <c r="D22" s="6">
        <f>IF(O14="Valid", C22/B22, "-")</f>
        <v>1.09578086020451</v>
      </c>
      <c r="E22" s="9" t="str">
        <f>IF(O14="Valid", IF(ABS(D22)&lt;1,"PITCH","FLAT RIDE"), "-")</f>
        <v>FLAT RIDE</v>
      </c>
      <c r="G22" s="15" t="s">
        <v>98</v>
      </c>
      <c r="H22" s="1">
        <v>165.6</v>
      </c>
      <c r="I22" s="1">
        <v>165.6</v>
      </c>
      <c r="J22" s="1">
        <v>165.6</v>
      </c>
      <c r="K22" s="1">
        <v>194.2</v>
      </c>
      <c r="L22" s="1">
        <v>397.6</v>
      </c>
      <c r="M22" s="1">
        <v>285.5</v>
      </c>
      <c r="N22" s="1">
        <v>342.6</v>
      </c>
      <c r="O22" s="1">
        <v>336</v>
      </c>
      <c r="P22" s="1">
        <v>672</v>
      </c>
      <c r="Q22" s="1">
        <v>336</v>
      </c>
      <c r="R22" s="1">
        <v>504</v>
      </c>
      <c r="S22" s="1">
        <v>252</v>
      </c>
      <c r="T22" s="1">
        <v>350</v>
      </c>
      <c r="U22" s="1">
        <v>300</v>
      </c>
      <c r="V22" s="1">
        <v>400</v>
      </c>
      <c r="W22" s="1">
        <v>239.8</v>
      </c>
      <c r="X22" s="12">
        <v>257</v>
      </c>
    </row>
    <row r="23" spans="1:48" ht="30.75" thickBot="1" x14ac:dyDescent="0.3">
      <c r="G23" s="16" t="s">
        <v>99</v>
      </c>
      <c r="H23" s="13">
        <v>491.1</v>
      </c>
      <c r="I23" s="13">
        <v>542.5</v>
      </c>
      <c r="J23" s="13">
        <v>491.1</v>
      </c>
      <c r="K23" s="13">
        <v>542.5</v>
      </c>
      <c r="L23" s="13">
        <v>565.6</v>
      </c>
      <c r="M23" s="13">
        <v>425.6</v>
      </c>
      <c r="N23" s="13">
        <v>913.6</v>
      </c>
      <c r="O23" s="13">
        <v>672</v>
      </c>
      <c r="P23" s="13">
        <v>560</v>
      </c>
      <c r="Q23" s="13">
        <v>784</v>
      </c>
      <c r="R23" s="13">
        <v>672</v>
      </c>
      <c r="S23" s="13">
        <v>604.79999999999995</v>
      </c>
      <c r="T23" s="13">
        <v>600</v>
      </c>
      <c r="U23" s="13">
        <v>600</v>
      </c>
      <c r="V23" s="13">
        <v>700</v>
      </c>
      <c r="W23" s="13">
        <v>576.70000000000005</v>
      </c>
      <c r="X23" s="14">
        <v>571</v>
      </c>
    </row>
    <row r="24" spans="1:48" ht="15.75" thickBot="1" x14ac:dyDescent="0.3"/>
    <row r="25" spans="1:48" ht="60.75" thickBot="1" x14ac:dyDescent="0.3">
      <c r="G25" s="4" t="s">
        <v>94</v>
      </c>
      <c r="H25" s="10" t="s">
        <v>124</v>
      </c>
      <c r="I25" s="10" t="s">
        <v>125</v>
      </c>
      <c r="J25" s="10" t="s">
        <v>128</v>
      </c>
      <c r="K25" s="10" t="s">
        <v>130</v>
      </c>
      <c r="L25" s="10" t="s">
        <v>131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7"/>
    </row>
    <row r="26" spans="1:48" x14ac:dyDescent="0.25">
      <c r="G26" s="100" t="s">
        <v>95</v>
      </c>
      <c r="H26" s="101" t="s">
        <v>127</v>
      </c>
      <c r="I26" s="102" t="s">
        <v>126</v>
      </c>
      <c r="J26" s="102" t="s">
        <v>129</v>
      </c>
      <c r="K26" s="102" t="s">
        <v>133</v>
      </c>
      <c r="L26" s="102" t="s">
        <v>132</v>
      </c>
      <c r="M26" s="102"/>
      <c r="N26" s="102"/>
      <c r="O26" s="102"/>
      <c r="P26" s="102"/>
      <c r="Q26" s="102"/>
      <c r="R26" s="102"/>
      <c r="S26" s="102"/>
      <c r="T26" s="104"/>
      <c r="U26" s="104"/>
      <c r="V26" s="104"/>
      <c r="W26" s="104"/>
      <c r="X26" s="103"/>
    </row>
    <row r="27" spans="1:48" x14ac:dyDescent="0.25">
      <c r="G27" s="100"/>
      <c r="H27" s="101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4"/>
      <c r="U27" s="104"/>
      <c r="V27" s="104"/>
      <c r="W27" s="104"/>
      <c r="X27" s="103"/>
    </row>
    <row r="28" spans="1:48" ht="30" x14ac:dyDescent="0.25">
      <c r="G28" s="15" t="s">
        <v>98</v>
      </c>
      <c r="H28" s="1">
        <v>173.6</v>
      </c>
      <c r="I28" s="1">
        <v>207.2</v>
      </c>
      <c r="J28" s="1">
        <v>179.2</v>
      </c>
      <c r="K28" s="18">
        <v>335.8</v>
      </c>
      <c r="L28" s="18">
        <v>335.8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2"/>
    </row>
    <row r="29" spans="1:48" ht="30.75" thickBot="1" x14ac:dyDescent="0.3">
      <c r="G29" s="16" t="s">
        <v>99</v>
      </c>
      <c r="H29" s="13">
        <v>436.8</v>
      </c>
      <c r="I29" s="13">
        <v>532</v>
      </c>
      <c r="J29" s="13">
        <v>437.9</v>
      </c>
      <c r="K29" s="13">
        <v>593.29999999999995</v>
      </c>
      <c r="L29" s="13">
        <v>581.29999999999995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</row>
  </sheetData>
  <sheetProtection algorithmName="SHA-512" hashValue="qdpgcFxqsm6D9ybV6eSq41BiLEJZKzxb6lzhMOjV/C/OVI2A5SwoYkb2ofnYO7KayDMq9YfrJl3Op82s4G53eA==" saltValue="zgBQ3aI579B+qRE6JGSAUA==" spinCount="100000" sheet="1" objects="1" scenarios="1"/>
  <mergeCells count="55">
    <mergeCell ref="U26:U27"/>
    <mergeCell ref="H1:L1"/>
    <mergeCell ref="H2:L2"/>
    <mergeCell ref="V26:V27"/>
    <mergeCell ref="P20:P21"/>
    <mergeCell ref="L20:L21"/>
    <mergeCell ref="M20:M21"/>
    <mergeCell ref="N20:N21"/>
    <mergeCell ref="O20:O21"/>
    <mergeCell ref="A7:S7"/>
    <mergeCell ref="A8:S8"/>
    <mergeCell ref="B19:C19"/>
    <mergeCell ref="K13:M13"/>
    <mergeCell ref="Q13:S13"/>
    <mergeCell ref="Q14:S14"/>
    <mergeCell ref="W26:W27"/>
    <mergeCell ref="X26:X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X20:X21"/>
    <mergeCell ref="U20:U21"/>
    <mergeCell ref="Q20:Q21"/>
    <mergeCell ref="R20:R21"/>
    <mergeCell ref="S20:S21"/>
    <mergeCell ref="T20:T21"/>
    <mergeCell ref="V20:V21"/>
    <mergeCell ref="W20:W21"/>
    <mergeCell ref="G20:G21"/>
    <mergeCell ref="H20:H21"/>
    <mergeCell ref="I20:I21"/>
    <mergeCell ref="J20:J21"/>
    <mergeCell ref="K20:K21"/>
    <mergeCell ref="A1:F1"/>
    <mergeCell ref="A2:F2"/>
    <mergeCell ref="A4:R4"/>
    <mergeCell ref="A6:S6"/>
    <mergeCell ref="A5:S5"/>
    <mergeCell ref="A13:C13"/>
    <mergeCell ref="A14:C14"/>
    <mergeCell ref="F15:H15"/>
    <mergeCell ref="K14:M14"/>
    <mergeCell ref="G18:I18"/>
    <mergeCell ref="F16:H16"/>
  </mergeCells>
  <conditionalFormatting sqref="O14">
    <cfRule type="cellIs" dxfId="39" priority="9" operator="equal">
      <formula>"Invalid"</formula>
    </cfRule>
    <cfRule type="cellIs" dxfId="38" priority="10" operator="equal">
      <formula>"Valid"</formula>
    </cfRule>
  </conditionalFormatting>
  <conditionalFormatting sqref="E21">
    <cfRule type="cellIs" dxfId="37" priority="5" operator="equal">
      <formula>"PITCH"</formula>
    </cfRule>
    <cfRule type="cellIs" dxfId="36" priority="6" operator="equal">
      <formula>"FLAT RIDE"</formula>
    </cfRule>
  </conditionalFormatting>
  <conditionalFormatting sqref="E22">
    <cfRule type="cellIs" dxfId="35" priority="3" operator="equal">
      <formula>"PITCH"</formula>
    </cfRule>
    <cfRule type="cellIs" dxfId="34" priority="4" operator="equal">
      <formula>"FLAT RIDE"</formula>
    </cfRule>
  </conditionalFormatting>
  <conditionalFormatting sqref="O13">
    <cfRule type="cellIs" dxfId="33" priority="1" operator="equal">
      <formula>"Invalid"</formula>
    </cfRule>
    <cfRule type="cellIs" dxfId="32" priority="2" operator="equal">
      <formula>"Valid"</formula>
    </cfRule>
  </conditionalFormatting>
  <dataValidations count="5">
    <dataValidation type="list" allowBlank="1" showInputMessage="1" showErrorMessage="1" sqref="N14">
      <formula1>$AG$2:$AG$5</formula1>
    </dataValidation>
    <dataValidation type="list" allowBlank="1" showInputMessage="1" showErrorMessage="1" sqref="D13 I13">
      <formula1>$AA$2:$AA$6</formula1>
    </dataValidation>
    <dataValidation type="list" allowBlank="1" showInputMessage="1" showErrorMessage="1" sqref="I14">
      <formula1>$AG$14:$AG$15</formula1>
    </dataValidation>
    <dataValidation type="list" allowBlank="1" showInputMessage="1" showErrorMessage="1" sqref="N13">
      <formula1>$AG$2:$AG$4</formula1>
    </dataValidation>
    <dataValidation type="whole" allowBlank="1" showInputMessage="1" showErrorMessage="1" sqref="D14">
      <formula1>0</formula1>
      <formula2>2000</formula2>
    </dataValidation>
  </dataValidations>
  <hyperlinks>
    <hyperlink ref="H2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workbookViewId="0">
      <selection activeCell="D15" sqref="D15"/>
    </sheetView>
  </sheetViews>
  <sheetFormatPr defaultRowHeight="15" x14ac:dyDescent="0.25"/>
  <cols>
    <col min="1" max="1" width="25.140625" customWidth="1"/>
    <col min="4" max="4" width="11.28515625" bestFit="1" customWidth="1"/>
    <col min="7" max="9" width="11.7109375" customWidth="1"/>
    <col min="14" max="14" width="20.5703125" bestFit="1" customWidth="1"/>
    <col min="27" max="27" width="12.28515625" bestFit="1" customWidth="1"/>
    <col min="28" max="31" width="9.140625" customWidth="1"/>
    <col min="33" max="33" width="11.28515625" customWidth="1"/>
    <col min="37" max="37" width="11.28515625" customWidth="1"/>
    <col min="41" max="41" width="11.28515625" customWidth="1"/>
    <col min="45" max="45" width="11.28515625" customWidth="1"/>
  </cols>
  <sheetData>
    <row r="1" spans="1:48" s="22" customFormat="1" ht="45.75" customHeight="1" thickBot="1" x14ac:dyDescent="0.3">
      <c r="A1" s="90" t="s">
        <v>91</v>
      </c>
      <c r="B1" s="91"/>
      <c r="C1" s="91"/>
      <c r="D1" s="91"/>
      <c r="E1" s="91"/>
      <c r="F1" s="92"/>
      <c r="G1" s="57"/>
      <c r="H1" s="105" t="s">
        <v>173</v>
      </c>
      <c r="I1" s="106"/>
      <c r="J1" s="106"/>
      <c r="K1" s="106"/>
      <c r="L1" s="107"/>
      <c r="M1" s="28"/>
      <c r="N1" s="28"/>
      <c r="O1" s="57"/>
      <c r="P1" s="57"/>
      <c r="Q1" s="57"/>
      <c r="R1" s="57"/>
      <c r="S1" s="57"/>
      <c r="Z1" s="32"/>
      <c r="AA1" s="33" t="s">
        <v>68</v>
      </c>
      <c r="AB1" s="33" t="s">
        <v>64</v>
      </c>
      <c r="AC1" s="33" t="s">
        <v>66</v>
      </c>
      <c r="AD1" s="33" t="s">
        <v>65</v>
      </c>
      <c r="AE1" s="33" t="s">
        <v>84</v>
      </c>
      <c r="AF1" s="33"/>
      <c r="AG1" s="33" t="s">
        <v>162</v>
      </c>
      <c r="AH1" s="33" t="s">
        <v>158</v>
      </c>
      <c r="AI1" s="33" t="s">
        <v>159</v>
      </c>
      <c r="AJ1" s="33"/>
      <c r="AK1" s="33" t="s">
        <v>70</v>
      </c>
      <c r="AL1" s="33" t="s">
        <v>158</v>
      </c>
      <c r="AM1" s="33" t="s">
        <v>159</v>
      </c>
      <c r="AN1" s="33"/>
      <c r="AO1" s="33" t="s">
        <v>161</v>
      </c>
      <c r="AP1" s="33" t="s">
        <v>158</v>
      </c>
      <c r="AQ1" s="33" t="s">
        <v>159</v>
      </c>
      <c r="AR1" s="33"/>
      <c r="AS1" s="33" t="s">
        <v>160</v>
      </c>
      <c r="AT1" s="33" t="s">
        <v>158</v>
      </c>
      <c r="AU1" s="33" t="s">
        <v>159</v>
      </c>
      <c r="AV1" s="32"/>
    </row>
    <row r="2" spans="1:48" ht="15.75" customHeight="1" thickBot="1" x14ac:dyDescent="0.3">
      <c r="A2" s="93" t="s">
        <v>63</v>
      </c>
      <c r="B2" s="94"/>
      <c r="C2" s="94"/>
      <c r="D2" s="94"/>
      <c r="E2" s="94"/>
      <c r="F2" s="95"/>
      <c r="G2" s="28"/>
      <c r="H2" s="108" t="s">
        <v>174</v>
      </c>
      <c r="I2" s="109"/>
      <c r="J2" s="109"/>
      <c r="K2" s="109"/>
      <c r="L2" s="109"/>
      <c r="M2" s="28"/>
      <c r="N2" s="28"/>
      <c r="O2" s="28"/>
      <c r="P2" s="28"/>
      <c r="Q2" s="28"/>
      <c r="R2" s="28"/>
      <c r="S2" s="28"/>
      <c r="Z2" s="34"/>
      <c r="AA2" s="34" t="s">
        <v>69</v>
      </c>
      <c r="AB2" s="34" t="s">
        <v>74</v>
      </c>
      <c r="AC2" s="34" t="s">
        <v>74</v>
      </c>
      <c r="AD2" s="34" t="s">
        <v>74</v>
      </c>
      <c r="AE2" s="34" t="s">
        <v>74</v>
      </c>
      <c r="AF2" s="34"/>
      <c r="AG2" s="34" t="s">
        <v>76</v>
      </c>
      <c r="AH2" s="34" t="s">
        <v>74</v>
      </c>
      <c r="AI2" s="34" t="s">
        <v>74</v>
      </c>
      <c r="AJ2" s="34"/>
      <c r="AK2" s="34" t="s">
        <v>76</v>
      </c>
      <c r="AL2" s="34">
        <v>119.80799999999999</v>
      </c>
      <c r="AM2" s="34">
        <v>168.25668499999998</v>
      </c>
      <c r="AN2" s="34"/>
      <c r="AO2" s="34" t="s">
        <v>76</v>
      </c>
      <c r="AP2" s="34" t="s">
        <v>74</v>
      </c>
      <c r="AQ2" s="34" t="s">
        <v>74</v>
      </c>
      <c r="AR2" s="34"/>
      <c r="AS2" s="34" t="s">
        <v>76</v>
      </c>
      <c r="AT2" s="34" t="s">
        <v>74</v>
      </c>
      <c r="AU2" s="34" t="s">
        <v>74</v>
      </c>
      <c r="AV2" s="34"/>
    </row>
    <row r="3" spans="1:48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Z3" s="34"/>
      <c r="AA3" s="34" t="s">
        <v>70</v>
      </c>
      <c r="AB3" s="34">
        <v>3913</v>
      </c>
      <c r="AC3" s="34">
        <v>945</v>
      </c>
      <c r="AD3" s="34">
        <f t="shared" ref="AD3" si="0">AB3/2-AC3</f>
        <v>1011.5</v>
      </c>
      <c r="AE3" s="34">
        <f t="shared" ref="AE3" si="1">AC3*2/AB3</f>
        <v>0.48300536672629696</v>
      </c>
      <c r="AF3" s="34"/>
      <c r="AG3" s="34" t="s">
        <v>77</v>
      </c>
      <c r="AH3" s="34" t="s">
        <v>74</v>
      </c>
      <c r="AI3" s="34" t="s">
        <v>74</v>
      </c>
      <c r="AJ3" s="34"/>
      <c r="AK3" s="34" t="s">
        <v>77</v>
      </c>
      <c r="AL3" s="34">
        <v>142.84799999999998</v>
      </c>
      <c r="AM3" s="34">
        <v>190.80654999999999</v>
      </c>
      <c r="AN3" s="34"/>
      <c r="AO3" s="34" t="s">
        <v>79</v>
      </c>
      <c r="AP3" s="34" t="s">
        <v>74</v>
      </c>
      <c r="AQ3" s="34" t="s">
        <v>74</v>
      </c>
      <c r="AR3" s="34"/>
      <c r="AS3" s="34" t="s">
        <v>77</v>
      </c>
      <c r="AT3" s="34" t="s">
        <v>74</v>
      </c>
      <c r="AU3" s="34" t="s">
        <v>74</v>
      </c>
      <c r="AV3" s="34"/>
    </row>
    <row r="4" spans="1:48" ht="15.75" customHeight="1" x14ac:dyDescent="0.25">
      <c r="A4" s="96" t="s">
        <v>90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58"/>
      <c r="Z4" s="34"/>
      <c r="AA4" s="34" t="s">
        <v>71</v>
      </c>
      <c r="AB4" s="34" t="s">
        <v>74</v>
      </c>
      <c r="AC4" s="34" t="s">
        <v>74</v>
      </c>
      <c r="AD4" s="34" t="s">
        <v>74</v>
      </c>
      <c r="AE4" s="34" t="s">
        <v>74</v>
      </c>
      <c r="AF4" s="34"/>
      <c r="AG4" s="34" t="s">
        <v>67</v>
      </c>
      <c r="AH4" s="34" t="s">
        <v>74</v>
      </c>
      <c r="AI4" s="34" t="s">
        <v>74</v>
      </c>
      <c r="AJ4" s="34"/>
      <c r="AK4" s="35" t="s">
        <v>83</v>
      </c>
      <c r="AL4" s="34">
        <v>127.82</v>
      </c>
      <c r="AM4" s="35">
        <v>130</v>
      </c>
      <c r="AN4" s="34"/>
      <c r="AO4" s="34" t="s">
        <v>78</v>
      </c>
      <c r="AP4" s="34" t="s">
        <v>74</v>
      </c>
      <c r="AQ4" s="34" t="s">
        <v>74</v>
      </c>
      <c r="AR4" s="34"/>
      <c r="AS4" s="35" t="s">
        <v>83</v>
      </c>
      <c r="AT4" s="34">
        <v>127.82</v>
      </c>
      <c r="AU4" s="35">
        <v>134.41999999999999</v>
      </c>
      <c r="AV4" s="34"/>
    </row>
    <row r="5" spans="1:48" ht="15.75" customHeight="1" x14ac:dyDescent="0.25">
      <c r="A5" s="99" t="s">
        <v>168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Z5" s="34"/>
      <c r="AA5" s="34" t="s">
        <v>72</v>
      </c>
      <c r="AB5" s="34" t="s">
        <v>74</v>
      </c>
      <c r="AC5" s="34" t="s">
        <v>74</v>
      </c>
      <c r="AD5" s="34" t="s">
        <v>74</v>
      </c>
      <c r="AE5" s="34" t="s">
        <v>74</v>
      </c>
      <c r="AF5" s="34"/>
      <c r="AG5" s="34" t="s">
        <v>67</v>
      </c>
      <c r="AH5" s="34"/>
      <c r="AI5" s="34"/>
      <c r="AJ5" s="34"/>
      <c r="AK5" s="34"/>
      <c r="AL5" s="34"/>
      <c r="AM5" s="34"/>
      <c r="AN5" s="34"/>
      <c r="AO5" s="35" t="s">
        <v>83</v>
      </c>
      <c r="AP5" s="35">
        <v>119.4</v>
      </c>
      <c r="AQ5" s="35">
        <v>134.41999999999999</v>
      </c>
      <c r="AR5" s="34"/>
      <c r="AS5" s="34"/>
      <c r="AT5" s="34"/>
      <c r="AU5" s="34"/>
      <c r="AV5" s="34"/>
    </row>
    <row r="6" spans="1:48" ht="15.75" customHeight="1" x14ac:dyDescent="0.25">
      <c r="A6" s="97" t="s">
        <v>169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Z6" s="34"/>
      <c r="AA6" s="34" t="s">
        <v>67</v>
      </c>
      <c r="AB6" s="34"/>
      <c r="AC6" s="34"/>
      <c r="AD6" s="34"/>
      <c r="AE6" s="34"/>
      <c r="AF6" s="34"/>
      <c r="AG6" s="35" t="s">
        <v>83</v>
      </c>
      <c r="AH6" s="35">
        <v>119.4</v>
      </c>
      <c r="AI6" s="35">
        <v>130</v>
      </c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15.75" customHeight="1" x14ac:dyDescent="0.25">
      <c r="A7" s="110" t="s">
        <v>89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</row>
    <row r="8" spans="1:48" x14ac:dyDescent="0.25">
      <c r="A8" s="97" t="s">
        <v>170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Z8" s="34"/>
      <c r="AA8" s="36"/>
      <c r="AB8" s="36"/>
      <c r="AC8" s="37"/>
      <c r="AD8" s="36"/>
      <c r="AE8" s="36"/>
      <c r="AF8" s="34"/>
      <c r="AG8" s="36" t="s">
        <v>5</v>
      </c>
      <c r="AH8" s="36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x14ac:dyDescent="0.25">
      <c r="A9" s="59" t="s">
        <v>92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Z9" s="34"/>
      <c r="AA9" s="36" t="s">
        <v>143</v>
      </c>
      <c r="AB9" s="36"/>
      <c r="AC9" s="37"/>
      <c r="AD9" s="36" t="s">
        <v>142</v>
      </c>
      <c r="AE9" s="36"/>
      <c r="AF9" s="34"/>
      <c r="AG9" s="38" t="s">
        <v>6</v>
      </c>
      <c r="AH9" s="38">
        <v>0.96</v>
      </c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</row>
    <row r="10" spans="1:48" x14ac:dyDescent="0.25">
      <c r="A10" s="61" t="s">
        <v>154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Z10" s="34"/>
      <c r="AA10" s="39" t="s">
        <v>6</v>
      </c>
      <c r="AB10" s="39">
        <v>0.96</v>
      </c>
      <c r="AC10" s="39"/>
      <c r="AD10" s="39" t="s">
        <v>6</v>
      </c>
      <c r="AE10" s="39">
        <v>0.96</v>
      </c>
      <c r="AF10" s="34"/>
      <c r="AG10" s="38" t="s">
        <v>3</v>
      </c>
      <c r="AH10" s="38">
        <v>1</v>
      </c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x14ac:dyDescent="0.25">
      <c r="A11" s="67"/>
      <c r="B11" s="31"/>
      <c r="C11" s="31"/>
      <c r="D11" s="31"/>
      <c r="E11" s="31"/>
      <c r="F11" s="68"/>
      <c r="G11" s="31"/>
      <c r="H11" s="31"/>
      <c r="I11" s="31"/>
      <c r="J11" s="31"/>
      <c r="K11" s="68"/>
      <c r="L11" s="31"/>
      <c r="M11" s="31"/>
      <c r="N11" s="31"/>
      <c r="O11" s="31"/>
      <c r="P11" s="68"/>
      <c r="Q11" s="31"/>
      <c r="R11" s="31"/>
      <c r="S11" s="31"/>
      <c r="T11" s="1"/>
      <c r="Z11" s="34"/>
      <c r="AA11" s="39" t="s">
        <v>61</v>
      </c>
      <c r="AB11" s="39">
        <v>0.58899999999999997</v>
      </c>
      <c r="AC11" s="39"/>
      <c r="AD11" s="39" t="s">
        <v>3</v>
      </c>
      <c r="AE11" s="39">
        <v>0.84199999999999997</v>
      </c>
      <c r="AF11" s="39"/>
      <c r="AG11" s="39"/>
      <c r="AH11" s="39"/>
      <c r="AI11" s="39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</row>
    <row r="12" spans="1:48" ht="15.75" thickBot="1" x14ac:dyDescent="0.3">
      <c r="A12" s="62" t="s">
        <v>93</v>
      </c>
      <c r="B12" s="28"/>
      <c r="C12" s="28"/>
      <c r="D12" s="28"/>
      <c r="E12" s="28"/>
      <c r="F12" s="47" t="s">
        <v>87</v>
      </c>
      <c r="G12" s="28"/>
      <c r="H12" s="28"/>
      <c r="I12" s="28"/>
      <c r="J12" s="28"/>
      <c r="K12" s="47" t="s">
        <v>75</v>
      </c>
      <c r="L12" s="28"/>
      <c r="M12" s="28"/>
      <c r="N12" s="28"/>
      <c r="O12" s="28"/>
      <c r="P12" s="28"/>
      <c r="Q12" s="47" t="s">
        <v>80</v>
      </c>
      <c r="R12" s="28"/>
      <c r="S12" s="28"/>
      <c r="Z12" s="34"/>
      <c r="AA12" s="39" t="s">
        <v>62</v>
      </c>
      <c r="AB12" s="39">
        <v>0.84199999999999997</v>
      </c>
      <c r="AC12" s="39"/>
      <c r="AD12" s="39"/>
      <c r="AE12" s="39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ht="15.75" customHeight="1" thickBot="1" x14ac:dyDescent="0.3">
      <c r="A13" s="81" t="s">
        <v>153</v>
      </c>
      <c r="B13" s="82"/>
      <c r="C13" s="82"/>
      <c r="D13" s="76" t="s">
        <v>70</v>
      </c>
      <c r="F13" s="63" t="s">
        <v>85</v>
      </c>
      <c r="G13" s="29"/>
      <c r="H13" s="29"/>
      <c r="I13" s="72" t="s">
        <v>70</v>
      </c>
      <c r="K13" s="85" t="s">
        <v>152</v>
      </c>
      <c r="L13" s="86"/>
      <c r="M13" s="86"/>
      <c r="N13" s="78" t="s">
        <v>76</v>
      </c>
      <c r="O13" s="66" t="str">
        <f>IF(AND(ISNUMBER(AA15),ISNUMBER(AB15)), "Valid", "Invalid")</f>
        <v>Valid</v>
      </c>
      <c r="Q13" s="114" t="s">
        <v>81</v>
      </c>
      <c r="R13" s="115"/>
      <c r="S13" s="115"/>
      <c r="T13" s="79">
        <v>150</v>
      </c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48" ht="15.75" customHeight="1" thickBot="1" x14ac:dyDescent="0.3">
      <c r="A14" s="81" t="s">
        <v>88</v>
      </c>
      <c r="B14" s="82"/>
      <c r="C14" s="82"/>
      <c r="D14" s="77">
        <v>175</v>
      </c>
      <c r="F14" s="64" t="s">
        <v>172</v>
      </c>
      <c r="G14" s="65"/>
      <c r="H14" s="65"/>
      <c r="I14" s="73" t="s">
        <v>150</v>
      </c>
      <c r="K14" s="85" t="s">
        <v>151</v>
      </c>
      <c r="L14" s="86"/>
      <c r="M14" s="86"/>
      <c r="N14" s="75" t="s">
        <v>76</v>
      </c>
      <c r="O14" s="66" t="str">
        <f>IF(AND(ISNUMBER(AD15),ISNUMBER(AE15)), "Valid", "Invalid")</f>
        <v>Valid</v>
      </c>
      <c r="Q14" s="85" t="s">
        <v>82</v>
      </c>
      <c r="R14" s="86"/>
      <c r="S14" s="86"/>
      <c r="T14" s="75">
        <v>500</v>
      </c>
      <c r="Z14" s="34"/>
      <c r="AA14" s="40" t="s">
        <v>134</v>
      </c>
      <c r="AB14" s="41" t="s">
        <v>135</v>
      </c>
      <c r="AC14" s="42"/>
      <c r="AD14" s="40" t="s">
        <v>136</v>
      </c>
      <c r="AE14" s="41" t="s">
        <v>137</v>
      </c>
      <c r="AF14" s="34"/>
      <c r="AG14" s="34" t="s">
        <v>149</v>
      </c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8" ht="15.75" customHeight="1" thickBot="1" x14ac:dyDescent="0.3">
      <c r="A15" s="70" t="s">
        <v>156</v>
      </c>
      <c r="B15" s="69"/>
      <c r="C15" s="69"/>
      <c r="D15" s="45">
        <f>IF(D13=AA2,AB2,(IF(D13=AA3,AB3, IF(D13=AA4,AB4,IF(D13=AA5,AB5,IF(D13=AA6,AB6,IF(D13=AA7,I15,"No Value")))))))+D14</f>
        <v>4088</v>
      </c>
      <c r="F15" s="83" t="s">
        <v>73</v>
      </c>
      <c r="G15" s="84"/>
      <c r="H15" s="84"/>
      <c r="I15" s="74">
        <v>4000</v>
      </c>
      <c r="P15" s="24"/>
      <c r="Q15" s="24"/>
      <c r="R15" s="24"/>
      <c r="S15" s="1"/>
      <c r="Z15" s="34"/>
      <c r="AA15" s="34">
        <f>(((IF(AND(D13=AA2,N13=AG2),AH2,IF(AND(D13=AA2,N13=AG3),AH3,IF(AND(D13=AA2,N13=AG4),AH4,IF(AND(D13=AA2,N13=AG5),T13,IF(AND(D13=AA3,N13=AG2),AL2,IF(AND(D13=AA3,N13=AG3),AL3,IF(AND(D13=AA3,N13=AG5),T13,IF(AND(D13=AA4,N13=AG2),AP2,IF(AND(D13=AA4,N13=AG3),AP3,IF(AND(D13=AA4,N13=AG4),AP4,IF(AND(D13=AA5,N13=AG2),AT2,IF(AND(D13=AA5,N13=AG3),AT3,"Invalid Config"))))))))))))))*1.0851)</f>
        <v>130.00366079999998</v>
      </c>
      <c r="AB15" s="34">
        <f>((IF(AND(D13=AA2,N13=AG2),AI2,IF(AND(D13=AA2,N13=AG3),AI3,IF(AND(D13=AA2,N13=AG4),AI4,IF(AND(D13=AA2,N13=AG5),T14,IF(AND(D13=AA3,N13=AG2),AM2,IF(AND(D13=AA3,N13=AG3),AM3,IF(AND(D13=AA3,N13=AG5),T14,IF(AND(D13=AA4,N13=AG2),AQ2,IF(AND(D13=AA4,N13=AG3),AQ3,IF(AND(D13=AA4,N13=AG4),AQ4,IF(AND(D13=AA4,N13=AG5),T14,IF(AND(D13=AA5,N13=AG2),AU2,IF(AND(D13=AA5,N13=AG3),AU3,IF(AND(D13=AA5,N13=AG5),T14,"Invalid Config"))))))))))))))*2.8825))</f>
        <v>484.99989451249991</v>
      </c>
      <c r="AC15" s="34"/>
      <c r="AD15" s="34">
        <f>((IF(AND(I13=AA2,N14=AG2),AH2,IF(AND(I13=AA2,N14=AG3),AH3,IF(AND(I13=AA2,N14=AG4),AH4,IF(AND(I13=AA2,N14=AG5),T13*0.9216,IF(AND(I13=AA3,N14=AG2),AL2,IF(AND(I13=AA3,N14=AG3),AL3,IF(AND(I13=AA3,N14=AG5),T13*0.9216,IF(AND(I13=AA4,N14=AG2),AP2,IF(AND(I13=AA4,N14=AG3),AP3,IF(AND(I13=AA4,N14=AG4),AP4,IF(AND(I13=AA4,N14=AG5),T13*0.9216,IF(AND(I13=AA5,N14=AG2),AT2,IF(AND(I13=AA5,N14=AG3),AT3,IF(AND(I13=AA5,N14=AG5),T13*0.9216,"Invalid Config"))))))))))))))*1.0851))</f>
        <v>130.00366079999998</v>
      </c>
      <c r="AE15" s="34">
        <f>((IF(AND(I13=AA2,N14=AG2),AI2,IF(AND(I13=AA2,N14=AG3),AI3,IF(AND(I13=AA2,N14=AG4),AI4,IF(AND(I13=AA2,N14=AG5),T14*0.346921,IF(AND(I13=AA3,N14=AG2),AM2,IF(AND(I13=AA3,N14=AG3),AM3,IF(AND(I13=AA3,N14=AG5),T14*0.346921,IF(AND(I13=AA4,N14=AG2),AQ2,IF(AND(I13=AA4,N14=AG3),AQ3,IF(AND(I13=AA4,N14=AG4),AQ4,IF(AND(I13=AA4,N14=AG5),T14*0.346921,IF(AND(I13=AA5,N14=AG2),AU2,IF(AND(I13=AA5,N14=AG3),AU3,IF(AND(I13=AA5,N14=AG5),T14*0.346921,"Invalid Config"))))))))))))))*2.8825))</f>
        <v>484.99989451249991</v>
      </c>
      <c r="AF15" s="34"/>
      <c r="AG15" s="34" t="s">
        <v>150</v>
      </c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</row>
    <row r="16" spans="1:48" ht="15.75" customHeight="1" thickBot="1" x14ac:dyDescent="0.3">
      <c r="A16" s="34" t="s">
        <v>157</v>
      </c>
      <c r="B16" s="34"/>
      <c r="C16" s="34"/>
      <c r="D16" s="46">
        <f>IF(AND(I13=AA2,I14="No"),AB2,(IF(AND(I13=AA3,I14="No"),AB3, IF(AND(I13=AA4,I14="No"),AB4,IF(AND(I13=AA5,I14="No"),AB5,IF(I14="Yes",I15,"No Value"))))))+D14</f>
        <v>4088</v>
      </c>
      <c r="F16" s="88" t="s">
        <v>171</v>
      </c>
      <c r="G16" s="89"/>
      <c r="H16" s="89"/>
      <c r="I16" s="75">
        <v>55</v>
      </c>
      <c r="K16" s="24"/>
      <c r="L16" s="24"/>
      <c r="M16" s="24"/>
      <c r="P16" s="24"/>
      <c r="Q16" s="24"/>
      <c r="R16" s="24"/>
      <c r="Z16" s="34"/>
      <c r="AA16" s="40" t="s">
        <v>144</v>
      </c>
      <c r="AB16" s="41" t="s">
        <v>145</v>
      </c>
      <c r="AC16" s="34"/>
      <c r="AD16" s="43"/>
      <c r="AE16" s="4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x14ac:dyDescent="0.25">
      <c r="F17" s="1"/>
      <c r="G17" s="1"/>
      <c r="H17" s="1"/>
      <c r="Z17" s="34"/>
      <c r="AA17" s="34">
        <v>0</v>
      </c>
      <c r="AB17" s="34">
        <v>0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1:48" ht="15.75" thickBot="1" x14ac:dyDescent="0.3">
      <c r="A18" s="47" t="s">
        <v>155</v>
      </c>
      <c r="B18" s="28"/>
      <c r="C18" s="28"/>
      <c r="D18" s="28"/>
      <c r="E18" s="28"/>
      <c r="G18" s="87" t="s">
        <v>97</v>
      </c>
      <c r="H18" s="87"/>
      <c r="I18" s="87"/>
      <c r="Z18" s="34"/>
      <c r="AA18" s="42" t="s">
        <v>139</v>
      </c>
      <c r="AB18" s="42" t="s">
        <v>140</v>
      </c>
      <c r="AC18" s="34"/>
      <c r="AD18" s="42" t="s">
        <v>139</v>
      </c>
      <c r="AE18" s="42" t="s">
        <v>140</v>
      </c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ht="75.75" thickBot="1" x14ac:dyDescent="0.3">
      <c r="A19" s="48" t="s">
        <v>146</v>
      </c>
      <c r="B19" s="112" t="s">
        <v>0</v>
      </c>
      <c r="C19" s="113"/>
      <c r="D19" s="49" t="s">
        <v>9</v>
      </c>
      <c r="E19" s="50" t="s">
        <v>1</v>
      </c>
      <c r="G19" s="4" t="s">
        <v>94</v>
      </c>
      <c r="H19" s="23" t="s">
        <v>163</v>
      </c>
      <c r="I19" s="23" t="s">
        <v>165</v>
      </c>
      <c r="J19" s="26" t="s">
        <v>103</v>
      </c>
      <c r="K19" s="26" t="s">
        <v>116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17"/>
      <c r="Z19" s="34"/>
      <c r="AA19" s="34">
        <f>IF(D13=AA2,D15*AE2/2-AH6,IF(D13=AA3,D15*AE3/2-AL4,IF(D13=AA4,D15*AE4/2-AP5,IF(D13=AA5,D15*AE5/2-AT4,IF(AND(D13=AA6,I13=AA2),D15*I16/100/2-AH6,IF(AND(D13=AA6,I13=AA3),D15*I16/100/2-AL4,IF(AND(D13=AA6,I13=AA4),D15*I16/100/2-AP5,IF(AND(D13=AA6,I13=AA5),D15*I16/100/2-AT4))))))))</f>
        <v>859.44296958855102</v>
      </c>
      <c r="AB19" s="34">
        <f>IF(D13=AA2,D15*(1-AE2)/2-AI6,IF(D13=AA3,D15*(1-AE3)/2-AM4,IF(D13=AA4,D15*(1-AE4)/2-AQ5,IF(D13=AA5,D15*(1-AE5)/2-AU4,IF(AND(D13=AA6,I13=AA2),D15*(100-I16)/100/2-AI6,IF(AND(D13=AA6,I13=AA3),D15*(100-I16)/100/2-AM4,IF(AND(D13=AA6,I13=AA4),D15*(100-I16)/100/2-AQ5,IF(AND(D13=AA6,I13=AA5),D15*(100-I16)/100/2-AU4))))))))</f>
        <v>926.73703041144881</v>
      </c>
      <c r="AC19" s="34"/>
      <c r="AD19" s="34">
        <f>IF(AND(I14="No",I13=AA2),D16*AE2/2-AH6,IF(AND(I14="No",I13=AA3),D16*AE3/2-AL4,IF(AND(I14="No",I13=AA4),D16*AE4/2-AP5,IF(AND(I14="No",I13=AA5),D16*AE5/2-AT4,IF(AND(I14="Yes",I13=AA2),D16*I16/100/2-AH6,IF(AND(I14="Yes",I13=AA3),D16*I16/100/2-AL4,IF(AND(I14="Yes",I13=AA4),D16*I16/100/2-AP5,IF(AND(I14="Yes",I13=AA5),D16*I16/100/2-AT4))))))))</f>
        <v>859.44296958855102</v>
      </c>
      <c r="AE19" s="34">
        <f>IF(AND(I14="No",I13=AA2),D16*(1-AE2)/2-AI6,IF(AND(I14="No",I13=AA3),D16*(1-AE3)/2-AM4,IF(AND(I14="No",I13=AA4), D16*(1-AE4)/2-AQ5,IF(AND(I14="No",I13=AA5),D16*(1-AE5)/2-AU4, IF(AND(I14="Yes",I13=AA2),D16*(100-I16)/100/2-AI6,IF(AND(I14="Yes",I13=AA3),D16*(100-I16)/100/2-AM4,IF(AND(I14="Yes",I13=AA4),D16*(100-I16)/100/2-AQ5,IF(AND(I14="Yes",I13=AA5),D16*(100-I16)/100/2-AU4,))))))))</f>
        <v>926.73703041144881</v>
      </c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</row>
    <row r="20" spans="1:48" ht="15.75" thickBot="1" x14ac:dyDescent="0.3">
      <c r="A20" s="51"/>
      <c r="B20" s="52" t="s">
        <v>2</v>
      </c>
      <c r="C20" s="53" t="s">
        <v>3</v>
      </c>
      <c r="D20" s="54" t="s">
        <v>4</v>
      </c>
      <c r="E20" s="53"/>
      <c r="G20" s="100" t="s">
        <v>95</v>
      </c>
      <c r="H20" s="101" t="s">
        <v>164</v>
      </c>
      <c r="I20" s="102"/>
      <c r="J20" s="102" t="s">
        <v>104</v>
      </c>
      <c r="K20" s="102" t="s">
        <v>104</v>
      </c>
      <c r="L20" s="102"/>
      <c r="M20" s="102"/>
      <c r="N20" s="102"/>
      <c r="O20" s="102"/>
      <c r="P20" s="102"/>
      <c r="Q20" s="102"/>
      <c r="R20" s="102"/>
      <c r="S20" s="102"/>
      <c r="T20" s="104"/>
      <c r="U20" s="104"/>
      <c r="V20" s="104"/>
      <c r="W20" s="104"/>
      <c r="X20" s="103"/>
    </row>
    <row r="21" spans="1:48" ht="30.75" customHeight="1" thickBot="1" x14ac:dyDescent="0.3">
      <c r="A21" s="55" t="s">
        <v>147</v>
      </c>
      <c r="B21" s="21">
        <f>IF(O13="Valid", PI()*(SQRT( ((AA15+AA17)*(AB10^2) ) / AA19)), "-")</f>
        <v>1.1729793458585545</v>
      </c>
      <c r="C21" s="5">
        <f>IF(O13="Valid", PI()*(SQRT( ((AB15+AB17)*(AB11^2) ) / AB19)), "-")</f>
        <v>1.3386212998881859</v>
      </c>
      <c r="D21" s="6">
        <f>IF(O13="Valid", C21/B21, "-")</f>
        <v>1.1412147235281376</v>
      </c>
      <c r="E21" s="9" t="str">
        <f>IF(O13="Valid", IF(ABS(D21)&lt;1,"PITCH","FLAT RIDE"), "-")</f>
        <v>FLAT RIDE</v>
      </c>
      <c r="G21" s="100"/>
      <c r="H21" s="101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4"/>
      <c r="U21" s="104"/>
      <c r="V21" s="104"/>
      <c r="W21" s="104"/>
      <c r="X21" s="103"/>
      <c r="AH21" s="11"/>
      <c r="AI21" s="11"/>
      <c r="AJ21" s="1"/>
      <c r="AK21" s="1"/>
      <c r="AL21" s="11"/>
      <c r="AM21" s="11"/>
      <c r="AN21" s="1"/>
      <c r="AO21" s="1"/>
      <c r="AP21" s="11"/>
      <c r="AQ21" s="11"/>
      <c r="AR21" s="1"/>
      <c r="AS21" s="1"/>
      <c r="AT21" s="11"/>
      <c r="AU21" s="11"/>
    </row>
    <row r="22" spans="1:48" ht="30.75" customHeight="1" thickBot="1" x14ac:dyDescent="0.3">
      <c r="A22" s="56" t="s">
        <v>148</v>
      </c>
      <c r="B22" s="21">
        <f>IF(O14="Valid", PI()*(SQRT( ((AD15+AA17)*(AB10^2) ) / AD19)), "-")</f>
        <v>1.1729793458585545</v>
      </c>
      <c r="C22" s="5">
        <f>IF(O14="Valid", PI()*(SQRT( ((AE15+AB17)*(AB11^2) ) / AE19)), "-")</f>
        <v>1.3386212998881859</v>
      </c>
      <c r="D22" s="6">
        <f>IF(O14="Valid", C22/B22, "-")</f>
        <v>1.1412147235281376</v>
      </c>
      <c r="E22" s="9" t="str">
        <f>IF(O14="Valid", IF(ABS(D22)&lt;1,"PITCH","FLAT RIDE"), "-")</f>
        <v>FLAT RIDE</v>
      </c>
      <c r="G22" s="15" t="s">
        <v>98</v>
      </c>
      <c r="H22" s="1">
        <v>165.6</v>
      </c>
      <c r="I22" s="1">
        <v>257</v>
      </c>
      <c r="J22" s="1">
        <v>397.6</v>
      </c>
      <c r="K22" s="1">
        <v>285.5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2"/>
      <c r="AH22" s="11"/>
      <c r="AI22" s="11"/>
      <c r="AJ22" s="1"/>
      <c r="AK22" s="1"/>
      <c r="AL22" s="11"/>
      <c r="AM22" s="11"/>
      <c r="AN22" s="1"/>
      <c r="AO22" s="1"/>
      <c r="AP22" s="11"/>
      <c r="AQ22" s="11"/>
      <c r="AR22" s="1"/>
      <c r="AS22" s="1"/>
      <c r="AT22" s="11"/>
      <c r="AU22" s="11"/>
    </row>
    <row r="23" spans="1:48" ht="45.75" customHeight="1" thickBot="1" x14ac:dyDescent="0.3">
      <c r="G23" s="16" t="s">
        <v>99</v>
      </c>
      <c r="H23" s="13">
        <v>542.5</v>
      </c>
      <c r="I23" s="13">
        <v>630</v>
      </c>
      <c r="J23" s="13">
        <v>565.6</v>
      </c>
      <c r="K23" s="13">
        <v>425.6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AH23" s="11"/>
      <c r="AI23" s="11"/>
      <c r="AJ23" s="1"/>
      <c r="AK23" s="1"/>
      <c r="AL23" s="1"/>
      <c r="AM23" s="1"/>
      <c r="AN23" s="1"/>
      <c r="AO23" s="1"/>
      <c r="AP23" s="11"/>
      <c r="AQ23" s="11"/>
      <c r="AR23" s="1"/>
      <c r="AS23" s="1"/>
      <c r="AT23" s="1"/>
      <c r="AU23" s="1"/>
    </row>
    <row r="24" spans="1:4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sheetProtection algorithmName="SHA-512" hashValue="VSgMuaCOD1eBqbFUoBN+Ksc5f6sDYb4XAIwywdC1tNnx6g+Fgz9sFBlbsjCWvJBxH3YgkpsYAta907dAtItGww==" saltValue="RoGrLqBVjev2bH43EfXpaw==" spinCount="100000" sheet="1" objects="1" scenarios="1"/>
  <mergeCells count="37">
    <mergeCell ref="A7:S7"/>
    <mergeCell ref="A8:S8"/>
    <mergeCell ref="A6:S6"/>
    <mergeCell ref="A1:F1"/>
    <mergeCell ref="A2:F2"/>
    <mergeCell ref="A4:R4"/>
    <mergeCell ref="A5:S5"/>
    <mergeCell ref="H1:L1"/>
    <mergeCell ref="H2:L2"/>
    <mergeCell ref="A13:C13"/>
    <mergeCell ref="K13:M13"/>
    <mergeCell ref="Q13:S13"/>
    <mergeCell ref="A14:C14"/>
    <mergeCell ref="K14:M14"/>
    <mergeCell ref="Q14:S14"/>
    <mergeCell ref="O20:O21"/>
    <mergeCell ref="F15:H15"/>
    <mergeCell ref="F16:H16"/>
    <mergeCell ref="G18:I18"/>
    <mergeCell ref="B19:C19"/>
    <mergeCell ref="G20:G21"/>
    <mergeCell ref="H20:H21"/>
    <mergeCell ref="I20:I21"/>
    <mergeCell ref="J20:J21"/>
    <mergeCell ref="K20:K21"/>
    <mergeCell ref="L20:L21"/>
    <mergeCell ref="M20:M21"/>
    <mergeCell ref="N20:N21"/>
    <mergeCell ref="V20:V21"/>
    <mergeCell ref="W20:W21"/>
    <mergeCell ref="X20:X21"/>
    <mergeCell ref="P20:P21"/>
    <mergeCell ref="Q20:Q21"/>
    <mergeCell ref="R20:R21"/>
    <mergeCell ref="S20:S21"/>
    <mergeCell ref="T20:T21"/>
    <mergeCell ref="U20:U21"/>
  </mergeCells>
  <conditionalFormatting sqref="O14">
    <cfRule type="cellIs" dxfId="31" priority="7" operator="equal">
      <formula>"Invalid"</formula>
    </cfRule>
    <cfRule type="cellIs" dxfId="30" priority="8" operator="equal">
      <formula>"Valid"</formula>
    </cfRule>
  </conditionalFormatting>
  <conditionalFormatting sqref="E21">
    <cfRule type="cellIs" dxfId="29" priority="5" operator="equal">
      <formula>"PITCH"</formula>
    </cfRule>
    <cfRule type="cellIs" dxfId="28" priority="6" operator="equal">
      <formula>"FLAT RIDE"</formula>
    </cfRule>
  </conditionalFormatting>
  <conditionalFormatting sqref="E22">
    <cfRule type="cellIs" dxfId="27" priority="3" operator="equal">
      <formula>"PITCH"</formula>
    </cfRule>
    <cfRule type="cellIs" dxfId="26" priority="4" operator="equal">
      <formula>"FLAT RIDE"</formula>
    </cfRule>
  </conditionalFormatting>
  <conditionalFormatting sqref="O13">
    <cfRule type="cellIs" dxfId="25" priority="1" operator="equal">
      <formula>"Invalid"</formula>
    </cfRule>
    <cfRule type="cellIs" dxfId="24" priority="2" operator="equal">
      <formula>"Valid"</formula>
    </cfRule>
  </conditionalFormatting>
  <dataValidations count="5">
    <dataValidation type="list" allowBlank="1" showInputMessage="1" showErrorMessage="1" sqref="I14">
      <formula1>$AG$14:$AG$15</formula1>
    </dataValidation>
    <dataValidation type="list" allowBlank="1" showInputMessage="1" showErrorMessage="1" sqref="N13">
      <formula1>$AG$2:$AG$3</formula1>
    </dataValidation>
    <dataValidation type="list" allowBlank="1" showInputMessage="1" showErrorMessage="1" sqref="N14">
      <formula1>$AG$2:$AG$4</formula1>
    </dataValidation>
    <dataValidation type="list" allowBlank="1" showInputMessage="1" showErrorMessage="1" sqref="I13 D13">
      <formula1>$AA$3</formula1>
    </dataValidation>
    <dataValidation type="whole" allowBlank="1" showInputMessage="1" showErrorMessage="1" sqref="D14">
      <formula1>0</formula1>
      <formula2>2000</formula2>
    </dataValidation>
  </dataValidations>
  <hyperlinks>
    <hyperlink ref="H2" r:id="rId1"/>
  </hyperlinks>
  <pageMargins left="0.7" right="0.7" top="0.75" bottom="0.75" header="0.3" footer="0.3"/>
  <pageSetup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workbookViewId="0">
      <selection activeCell="C21" sqref="C21"/>
    </sheetView>
  </sheetViews>
  <sheetFormatPr defaultRowHeight="15" x14ac:dyDescent="0.25"/>
  <cols>
    <col min="1" max="1" width="25.140625" customWidth="1"/>
    <col min="4" max="4" width="11.28515625" bestFit="1" customWidth="1"/>
    <col min="7" max="9" width="11.7109375" customWidth="1"/>
    <col min="14" max="14" width="20.5703125" bestFit="1" customWidth="1"/>
    <col min="27" max="27" width="12.28515625" bestFit="1" customWidth="1"/>
    <col min="28" max="31" width="9.140625" customWidth="1"/>
    <col min="33" max="33" width="11.28515625" customWidth="1"/>
    <col min="37" max="37" width="11.28515625" customWidth="1"/>
    <col min="41" max="41" width="11.28515625" customWidth="1"/>
    <col min="45" max="45" width="11.28515625" customWidth="1"/>
  </cols>
  <sheetData>
    <row r="1" spans="1:48" s="7" customFormat="1" ht="45.75" customHeight="1" thickBot="1" x14ac:dyDescent="0.3">
      <c r="A1" s="90" t="s">
        <v>91</v>
      </c>
      <c r="B1" s="91"/>
      <c r="C1" s="91"/>
      <c r="D1" s="91"/>
      <c r="E1" s="91"/>
      <c r="F1" s="92"/>
      <c r="G1" s="57"/>
      <c r="H1" s="105" t="s">
        <v>173</v>
      </c>
      <c r="I1" s="106"/>
      <c r="J1" s="106"/>
      <c r="K1" s="106"/>
      <c r="L1" s="107"/>
      <c r="M1" s="28"/>
      <c r="N1" s="28"/>
      <c r="O1" s="57"/>
      <c r="P1" s="57"/>
      <c r="Q1" s="57"/>
      <c r="R1" s="57"/>
      <c r="S1" s="57"/>
      <c r="T1" s="57"/>
      <c r="Z1" s="32"/>
      <c r="AA1" s="33" t="s">
        <v>68</v>
      </c>
      <c r="AB1" s="33" t="s">
        <v>64</v>
      </c>
      <c r="AC1" s="33" t="s">
        <v>66</v>
      </c>
      <c r="AD1" s="33" t="s">
        <v>65</v>
      </c>
      <c r="AE1" s="33" t="s">
        <v>84</v>
      </c>
      <c r="AF1" s="33"/>
      <c r="AG1" s="33" t="s">
        <v>162</v>
      </c>
      <c r="AH1" s="33" t="s">
        <v>158</v>
      </c>
      <c r="AI1" s="33" t="s">
        <v>159</v>
      </c>
      <c r="AJ1" s="33"/>
      <c r="AK1" s="33" t="s">
        <v>70</v>
      </c>
      <c r="AL1" s="33" t="s">
        <v>158</v>
      </c>
      <c r="AM1" s="33" t="s">
        <v>159</v>
      </c>
      <c r="AN1" s="33"/>
      <c r="AO1" s="33" t="s">
        <v>161</v>
      </c>
      <c r="AP1" s="33" t="s">
        <v>158</v>
      </c>
      <c r="AQ1" s="33" t="s">
        <v>159</v>
      </c>
      <c r="AR1" s="33"/>
      <c r="AS1" s="33" t="s">
        <v>160</v>
      </c>
      <c r="AT1" s="33" t="s">
        <v>158</v>
      </c>
      <c r="AU1" s="33" t="s">
        <v>159</v>
      </c>
      <c r="AV1" s="30"/>
    </row>
    <row r="2" spans="1:48" ht="15.75" customHeight="1" thickBot="1" x14ac:dyDescent="0.3">
      <c r="A2" s="93" t="s">
        <v>63</v>
      </c>
      <c r="B2" s="94"/>
      <c r="C2" s="94"/>
      <c r="D2" s="94"/>
      <c r="E2" s="94"/>
      <c r="F2" s="95"/>
      <c r="G2" s="28"/>
      <c r="H2" s="108" t="s">
        <v>174</v>
      </c>
      <c r="I2" s="109"/>
      <c r="J2" s="109"/>
      <c r="K2" s="109"/>
      <c r="L2" s="109"/>
      <c r="M2" s="28"/>
      <c r="N2" s="28"/>
      <c r="O2" s="28"/>
      <c r="P2" s="28"/>
      <c r="Q2" s="28"/>
      <c r="R2" s="28"/>
      <c r="S2" s="28"/>
      <c r="T2" s="28"/>
      <c r="Z2" s="34"/>
      <c r="AA2" s="34" t="s">
        <v>69</v>
      </c>
      <c r="AB2" s="34">
        <v>3574</v>
      </c>
      <c r="AC2" s="34">
        <v>904</v>
      </c>
      <c r="AD2" s="34">
        <f>AB2/2-AC2</f>
        <v>883</v>
      </c>
      <c r="AE2" s="34">
        <f>AC2*2/AB2</f>
        <v>0.50587576944599888</v>
      </c>
      <c r="AF2" s="34"/>
      <c r="AG2" s="34" t="s">
        <v>76</v>
      </c>
      <c r="AH2" s="34">
        <v>133.63200000000001</v>
      </c>
      <c r="AI2" s="34">
        <v>157.84905499999999</v>
      </c>
      <c r="AJ2" s="34"/>
      <c r="AK2" s="34" t="s">
        <v>76</v>
      </c>
      <c r="AL2" s="34">
        <v>142.84799999999998</v>
      </c>
      <c r="AM2" s="34">
        <v>149.17603</v>
      </c>
      <c r="AN2" s="34"/>
      <c r="AO2" s="34" t="s">
        <v>76</v>
      </c>
      <c r="AP2" s="34">
        <v>152.06399999999999</v>
      </c>
      <c r="AQ2" s="34">
        <v>149.17603</v>
      </c>
      <c r="AR2" s="34"/>
      <c r="AS2" s="34" t="s">
        <v>76</v>
      </c>
      <c r="AT2" s="34">
        <v>161.28</v>
      </c>
      <c r="AU2" s="34">
        <v>157.84905499999999</v>
      </c>
      <c r="AV2" s="11"/>
    </row>
    <row r="3" spans="1:48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Z3" s="34"/>
      <c r="AA3" s="34" t="s">
        <v>70</v>
      </c>
      <c r="AB3" s="34">
        <v>3697</v>
      </c>
      <c r="AC3" s="34">
        <v>959</v>
      </c>
      <c r="AD3" s="34">
        <f t="shared" ref="AD3:AD5" si="0">AB3/2-AC3</f>
        <v>889.5</v>
      </c>
      <c r="AE3" s="34">
        <f t="shared" ref="AE3:AE5" si="1">AC3*2/AB3</f>
        <v>0.51879902623748986</v>
      </c>
      <c r="AF3" s="34"/>
      <c r="AG3" s="34" t="s">
        <v>79</v>
      </c>
      <c r="AH3" s="34">
        <v>138.24</v>
      </c>
      <c r="AI3" s="34">
        <v>157.84905499999999</v>
      </c>
      <c r="AJ3" s="34"/>
      <c r="AK3" s="34" t="s">
        <v>77</v>
      </c>
      <c r="AL3" s="34">
        <v>142.84799999999998</v>
      </c>
      <c r="AM3" s="34">
        <v>149.17603</v>
      </c>
      <c r="AN3" s="34"/>
      <c r="AO3" s="34" t="s">
        <v>79</v>
      </c>
      <c r="AP3" s="34">
        <v>152.06399999999999</v>
      </c>
      <c r="AQ3" s="34">
        <v>149.17603</v>
      </c>
      <c r="AR3" s="34"/>
      <c r="AS3" s="34" t="s">
        <v>77</v>
      </c>
      <c r="AT3" s="34">
        <v>161.28</v>
      </c>
      <c r="AU3" s="34">
        <v>157.84905499999999</v>
      </c>
      <c r="AV3" s="11"/>
    </row>
    <row r="4" spans="1:48" ht="15.75" customHeight="1" x14ac:dyDescent="0.25">
      <c r="A4" s="96" t="s">
        <v>90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58"/>
      <c r="T4" s="28"/>
      <c r="Z4" s="34"/>
      <c r="AA4" s="34" t="s">
        <v>71</v>
      </c>
      <c r="AB4" s="34">
        <v>3704</v>
      </c>
      <c r="AC4" s="34">
        <v>957</v>
      </c>
      <c r="AD4" s="34">
        <f t="shared" si="0"/>
        <v>895</v>
      </c>
      <c r="AE4" s="34">
        <f t="shared" si="1"/>
        <v>0.51673866090712739</v>
      </c>
      <c r="AF4" s="34"/>
      <c r="AG4" s="34" t="s">
        <v>78</v>
      </c>
      <c r="AH4" s="34">
        <v>188.928</v>
      </c>
      <c r="AI4" s="34">
        <v>196.01036499999998</v>
      </c>
      <c r="AJ4" s="34"/>
      <c r="AK4" s="35" t="s">
        <v>83</v>
      </c>
      <c r="AL4" s="34">
        <v>127.82</v>
      </c>
      <c r="AM4" s="35">
        <v>130</v>
      </c>
      <c r="AN4" s="34"/>
      <c r="AO4" s="34" t="s">
        <v>78</v>
      </c>
      <c r="AP4" s="34">
        <v>211.96799999999999</v>
      </c>
      <c r="AQ4" s="34">
        <v>196.01036499999998</v>
      </c>
      <c r="AR4" s="34"/>
      <c r="AS4" s="35" t="s">
        <v>83</v>
      </c>
      <c r="AT4" s="34">
        <v>127.82</v>
      </c>
      <c r="AU4" s="35">
        <v>134.41999999999999</v>
      </c>
      <c r="AV4" s="11"/>
    </row>
    <row r="5" spans="1:48" ht="15.75" customHeight="1" x14ac:dyDescent="0.25">
      <c r="A5" s="99" t="s">
        <v>168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28"/>
      <c r="Z5" s="34"/>
      <c r="AA5" s="34" t="s">
        <v>72</v>
      </c>
      <c r="AB5" s="34">
        <v>3827</v>
      </c>
      <c r="AC5" s="34">
        <v>1014</v>
      </c>
      <c r="AD5" s="34">
        <f t="shared" si="0"/>
        <v>899.5</v>
      </c>
      <c r="AE5" s="34">
        <f t="shared" si="1"/>
        <v>0.52991899660308339</v>
      </c>
      <c r="AF5" s="34"/>
      <c r="AG5" s="34" t="s">
        <v>67</v>
      </c>
      <c r="AH5" s="34"/>
      <c r="AI5" s="34"/>
      <c r="AJ5" s="34"/>
      <c r="AK5" s="34"/>
      <c r="AL5" s="34"/>
      <c r="AM5" s="34"/>
      <c r="AN5" s="34"/>
      <c r="AO5" s="35" t="s">
        <v>83</v>
      </c>
      <c r="AP5" s="35">
        <v>119.4</v>
      </c>
      <c r="AQ5" s="35">
        <v>134.41999999999999</v>
      </c>
      <c r="AR5" s="34"/>
      <c r="AS5" s="34"/>
      <c r="AT5" s="34"/>
      <c r="AU5" s="34"/>
      <c r="AV5" s="11"/>
    </row>
    <row r="6" spans="1:48" ht="15.75" customHeight="1" x14ac:dyDescent="0.25">
      <c r="A6" s="97" t="s">
        <v>169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28"/>
      <c r="Z6" s="34"/>
      <c r="AA6" s="34" t="s">
        <v>67</v>
      </c>
      <c r="AB6" s="34"/>
      <c r="AC6" s="34"/>
      <c r="AD6" s="34"/>
      <c r="AE6" s="34"/>
      <c r="AF6" s="34"/>
      <c r="AG6" s="35" t="s">
        <v>83</v>
      </c>
      <c r="AH6" s="35">
        <v>119.4</v>
      </c>
      <c r="AI6" s="35">
        <v>130</v>
      </c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11"/>
    </row>
    <row r="7" spans="1:48" ht="15.75" customHeight="1" x14ac:dyDescent="0.25">
      <c r="A7" s="110" t="s">
        <v>89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28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11"/>
    </row>
    <row r="8" spans="1:48" x14ac:dyDescent="0.25">
      <c r="A8" s="97" t="s">
        <v>170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28"/>
      <c r="Z8" s="34"/>
      <c r="AA8" s="36"/>
      <c r="AB8" s="36"/>
      <c r="AC8" s="37"/>
      <c r="AD8" s="36"/>
      <c r="AE8" s="36"/>
      <c r="AF8" s="34"/>
      <c r="AG8" s="36" t="s">
        <v>5</v>
      </c>
      <c r="AH8" s="36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11"/>
    </row>
    <row r="9" spans="1:48" x14ac:dyDescent="0.25">
      <c r="A9" s="59" t="s">
        <v>92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28"/>
      <c r="Z9" s="34"/>
      <c r="AA9" s="36" t="s">
        <v>143</v>
      </c>
      <c r="AB9" s="36"/>
      <c r="AC9" s="37"/>
      <c r="AD9" s="36" t="s">
        <v>142</v>
      </c>
      <c r="AE9" s="36"/>
      <c r="AF9" s="34"/>
      <c r="AG9" s="38" t="s">
        <v>6</v>
      </c>
      <c r="AH9" s="38">
        <v>0.96</v>
      </c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11"/>
    </row>
    <row r="10" spans="1:48" x14ac:dyDescent="0.25">
      <c r="A10" s="61" t="s">
        <v>154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28"/>
      <c r="Z10" s="34"/>
      <c r="AA10" s="39" t="s">
        <v>6</v>
      </c>
      <c r="AB10" s="39">
        <v>0.96</v>
      </c>
      <c r="AC10" s="39"/>
      <c r="AD10" s="39" t="s">
        <v>6</v>
      </c>
      <c r="AE10" s="39">
        <v>0.96</v>
      </c>
      <c r="AF10" s="34"/>
      <c r="AG10" s="38" t="s">
        <v>3</v>
      </c>
      <c r="AH10" s="38">
        <v>1</v>
      </c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11"/>
    </row>
    <row r="11" spans="1:48" x14ac:dyDescent="0.25">
      <c r="A11" s="67"/>
      <c r="B11" s="31"/>
      <c r="C11" s="31"/>
      <c r="D11" s="31"/>
      <c r="E11" s="31"/>
      <c r="F11" s="68"/>
      <c r="G11" s="31"/>
      <c r="H11" s="31"/>
      <c r="I11" s="31"/>
      <c r="J11" s="31"/>
      <c r="K11" s="68"/>
      <c r="L11" s="31"/>
      <c r="M11" s="31"/>
      <c r="N11" s="31"/>
      <c r="O11" s="31"/>
      <c r="P11" s="68"/>
      <c r="Q11" s="31"/>
      <c r="R11" s="31"/>
      <c r="S11" s="31"/>
      <c r="T11" s="31"/>
      <c r="Z11" s="34"/>
      <c r="AA11" s="39" t="s">
        <v>61</v>
      </c>
      <c r="AB11" s="39">
        <v>0.58899999999999997</v>
      </c>
      <c r="AC11" s="39"/>
      <c r="AD11" s="39" t="s">
        <v>3</v>
      </c>
      <c r="AE11" s="39">
        <v>0.84199999999999997</v>
      </c>
      <c r="AF11" s="39"/>
      <c r="AG11" s="39"/>
      <c r="AH11" s="39"/>
      <c r="AI11" s="39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11"/>
    </row>
    <row r="12" spans="1:48" ht="15.75" thickBot="1" x14ac:dyDescent="0.3">
      <c r="A12" s="62" t="s">
        <v>93</v>
      </c>
      <c r="B12" s="28"/>
      <c r="C12" s="28"/>
      <c r="D12" s="28"/>
      <c r="E12" s="28"/>
      <c r="F12" s="47" t="s">
        <v>87</v>
      </c>
      <c r="G12" s="28"/>
      <c r="H12" s="28"/>
      <c r="I12" s="28"/>
      <c r="J12" s="28"/>
      <c r="K12" s="47" t="s">
        <v>75</v>
      </c>
      <c r="L12" s="28"/>
      <c r="M12" s="28"/>
      <c r="N12" s="28"/>
      <c r="O12" s="28"/>
      <c r="P12" s="28"/>
      <c r="Q12" s="47" t="s">
        <v>80</v>
      </c>
      <c r="R12" s="28"/>
      <c r="S12" s="28"/>
      <c r="T12" s="28"/>
      <c r="Z12" s="34"/>
      <c r="AA12" s="39" t="s">
        <v>62</v>
      </c>
      <c r="AB12" s="39">
        <v>0.84199999999999997</v>
      </c>
      <c r="AC12" s="39"/>
      <c r="AD12" s="39"/>
      <c r="AE12" s="39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11"/>
    </row>
    <row r="13" spans="1:48" ht="15.75" customHeight="1" thickBot="1" x14ac:dyDescent="0.3">
      <c r="A13" s="81" t="s">
        <v>153</v>
      </c>
      <c r="B13" s="82"/>
      <c r="C13" s="82"/>
      <c r="D13" s="76" t="s">
        <v>69</v>
      </c>
      <c r="F13" s="63" t="s">
        <v>85</v>
      </c>
      <c r="G13" s="29"/>
      <c r="H13" s="29"/>
      <c r="I13" s="72" t="s">
        <v>69</v>
      </c>
      <c r="K13" s="85" t="s">
        <v>152</v>
      </c>
      <c r="L13" s="86"/>
      <c r="M13" s="86"/>
      <c r="N13" s="78" t="s">
        <v>76</v>
      </c>
      <c r="O13" s="66" t="str">
        <f>IF(AND(ISNUMBER(AA15),ISNUMBER(AB15)), "Valid", "Invalid")</f>
        <v>Valid</v>
      </c>
      <c r="Q13" s="114" t="s">
        <v>81</v>
      </c>
      <c r="R13" s="115"/>
      <c r="S13" s="115"/>
      <c r="T13" s="79">
        <v>150</v>
      </c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11"/>
    </row>
    <row r="14" spans="1:48" ht="15.75" customHeight="1" thickBot="1" x14ac:dyDescent="0.3">
      <c r="A14" s="81" t="s">
        <v>88</v>
      </c>
      <c r="B14" s="82"/>
      <c r="C14" s="82"/>
      <c r="D14" s="77">
        <v>175</v>
      </c>
      <c r="F14" s="64" t="s">
        <v>172</v>
      </c>
      <c r="G14" s="65"/>
      <c r="H14" s="65"/>
      <c r="I14" s="73" t="s">
        <v>150</v>
      </c>
      <c r="K14" s="85" t="s">
        <v>151</v>
      </c>
      <c r="L14" s="86"/>
      <c r="M14" s="86"/>
      <c r="N14" s="75" t="s">
        <v>76</v>
      </c>
      <c r="O14" s="66" t="str">
        <f>IF(AND(ISNUMBER(AD15),ISNUMBER(AE15)), "Valid", "Invalid")</f>
        <v>Valid</v>
      </c>
      <c r="Q14" s="85" t="s">
        <v>82</v>
      </c>
      <c r="R14" s="86"/>
      <c r="S14" s="86"/>
      <c r="T14" s="75">
        <v>500</v>
      </c>
      <c r="Z14" s="34"/>
      <c r="AA14" s="40" t="s">
        <v>134</v>
      </c>
      <c r="AB14" s="41" t="s">
        <v>135</v>
      </c>
      <c r="AC14" s="42"/>
      <c r="AD14" s="40" t="s">
        <v>136</v>
      </c>
      <c r="AE14" s="41" t="s">
        <v>137</v>
      </c>
      <c r="AF14" s="34"/>
      <c r="AG14" s="34" t="s">
        <v>149</v>
      </c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11"/>
    </row>
    <row r="15" spans="1:48" ht="15.75" customHeight="1" thickBot="1" x14ac:dyDescent="0.3">
      <c r="A15" s="70" t="s">
        <v>156</v>
      </c>
      <c r="B15" s="71"/>
      <c r="C15" s="71"/>
      <c r="D15" s="45">
        <f>IF(D13=AA2,AB2,(IF(D13=AA3,AB3, IF(D13=AA4,AB4,IF(D13=AA5,AB5,IF(D13=AA6,AB6,IF(D13=AA7,I15,"No Value")))))))+D14</f>
        <v>3749</v>
      </c>
      <c r="E15" s="28"/>
      <c r="F15" s="83" t="s">
        <v>73</v>
      </c>
      <c r="G15" s="84"/>
      <c r="H15" s="84"/>
      <c r="I15" s="74">
        <v>4000</v>
      </c>
      <c r="P15" s="20"/>
      <c r="Q15" s="20"/>
      <c r="R15" s="20"/>
      <c r="S15" s="1"/>
      <c r="Z15" s="34"/>
      <c r="AA15" s="34">
        <f>(((IF(AND(D13=AA2,N13=AG2),AH2,IF(AND(D13=AA2,N13=AG3),AH3,IF(AND(D13=AA2,N13=AG4),AH4,IF(AND(D13=AA2,N13=AG5),T13,IF(AND(D13=AA3,N13=AG2),AL2,IF(AND(D13=AA3,N13=AG3),AL3,IF(AND(D13=AA3,N13=AG5),T13,IF(AND(D13=AA4,N13=AG2),AP2,IF(AND(D13=AA4,N13=AG3),AP3,IF(AND(D13=AA4,N13=AG4),AP4,IF(AND(D13=AA5,N13=AG2),AT2,IF(AND(D13=AA5,N13=AG3),AT3,"Invalid Config"))))))))))))))*1.0851)</f>
        <v>145.0040832</v>
      </c>
      <c r="AB15" s="34">
        <f>((IF(AND(D13=AA2,N13=AG2),AI2,IF(AND(D13=AA2,N13=AG3),AI3,IF(AND(D13=AA2,N13=AG4),AI4,IF(AND(D13=AA2,N13=AG5),T14,IF(AND(D13=AA3,N13=AG2),AM2,IF(AND(D13=AA3,N13=AG3),AM3,IF(AND(D13=AA3,N13=AG5),T14,IF(AND(D13=AA4,N13=AG2),AQ2,IF(AND(D13=AA4,N13=AG3),AQ3,IF(AND(D13=AA4,N13=AG4),AQ4,IF(AND(D13=AA4,N13=AG5),T14,IF(AND(D13=AA5,N13=AG2),AU2,IF(AND(D13=AA5,N13=AG3),AU3,IF(AND(D13=AA5,N13=AG5),T14,"Invalid Config"))))))))))))))*2.8825))</f>
        <v>454.99990103749997</v>
      </c>
      <c r="AC15" s="34"/>
      <c r="AD15" s="34">
        <f>((IF(AND(I13=AA2,N14=AG2),AH2,IF(AND(I13=AA2,N14=AG3),AH3,IF(AND(I13=AA2,N14=AG4),AH4,IF(AND(I13=AA2,N14=AG5),T13*0.9216,IF(AND(I13=AA3,N14=AG2),AL2,IF(AND(I13=AA3,N14=AG3),AL3,IF(AND(I13=AA3,N14=AG5),T13*0.9216,IF(AND(I13=AA4,N14=AG2),AP2,IF(AND(I13=AA4,N14=AG3),AP3,IF(AND(I13=AA4,N14=AG4),AP4,IF(AND(I13=AA4,N14=AG5),T13*0.9216,IF(AND(I13=AA5,N14=AG2),AT2,IF(AND(I13=AA5,N14=AG3),AT3,IF(AND(I13=AA5,N14=AG5),T13*0.9216,"Invalid Config"))))))))))))))*1.0851))</f>
        <v>145.0040832</v>
      </c>
      <c r="AE15" s="34">
        <f>((IF(AND(I13=AA2,N14=AG2),AI2,IF(AND(I13=AA2,N14=AG3),AI3,IF(AND(I13=AA2,N14=AG4),AI4,IF(AND(I13=AA2,N14=AG5),T14*0.346921,IF(AND(I13=AA3,N14=AG2),AM2,IF(AND(I13=AA3,N14=AG3),AM3,IF(AND(I13=AA3,N14=AG5),T14*0.346921,IF(AND(I13=AA4,N14=AG2),AQ2,IF(AND(I13=AA4,N14=AG3),AQ3,IF(AND(I13=AA4,N14=AG4),AQ4,IF(AND(I13=AA4,N14=AG5),T14*0.346921,IF(AND(I13=AA5,N14=AG2),AU2,IF(AND(I13=AA5,N14=AG3),AU3,IF(AND(I13=AA5,N14=AG5),T14*0.346921,"Invalid Config"))))))))))))))*2.8825))</f>
        <v>454.99990103749997</v>
      </c>
      <c r="AF15" s="34"/>
      <c r="AG15" s="34" t="s">
        <v>150</v>
      </c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11"/>
    </row>
    <row r="16" spans="1:48" ht="15.75" customHeight="1" thickBot="1" x14ac:dyDescent="0.3">
      <c r="A16" s="34" t="s">
        <v>157</v>
      </c>
      <c r="B16" s="34"/>
      <c r="C16" s="34"/>
      <c r="D16" s="46">
        <f>IF(AND(I13=AA2,I14="No"),AB2,(IF(AND(I13=AA3,I14="No"),AB3, IF(AND(I13=AA4,I14="No"),AB4,IF(AND(I13=AA5,I14="No"),AB5,IF(I14="Yes",I15,"No Value"))))))+D14</f>
        <v>3749</v>
      </c>
      <c r="E16" s="28"/>
      <c r="F16" s="88" t="s">
        <v>171</v>
      </c>
      <c r="G16" s="89"/>
      <c r="H16" s="89"/>
      <c r="I16" s="75">
        <v>55</v>
      </c>
      <c r="K16" s="20"/>
      <c r="L16" s="20"/>
      <c r="M16" s="20"/>
      <c r="P16" s="20"/>
      <c r="Q16" s="20"/>
      <c r="R16" s="20"/>
      <c r="Z16" s="34"/>
      <c r="AA16" s="40" t="s">
        <v>144</v>
      </c>
      <c r="AB16" s="41" t="s">
        <v>145</v>
      </c>
      <c r="AC16" s="34"/>
      <c r="AD16" s="43"/>
      <c r="AE16" s="4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11"/>
    </row>
    <row r="17" spans="1:48" x14ac:dyDescent="0.25">
      <c r="A17" s="28"/>
      <c r="B17" s="28"/>
      <c r="C17" s="28"/>
      <c r="D17" s="28"/>
      <c r="E17" s="28"/>
      <c r="F17" s="1"/>
      <c r="G17" s="1"/>
      <c r="H17" s="1"/>
      <c r="Z17" s="34"/>
      <c r="AA17" s="34">
        <v>0</v>
      </c>
      <c r="AB17" s="34">
        <v>0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11"/>
    </row>
    <row r="18" spans="1:48" ht="15.75" thickBot="1" x14ac:dyDescent="0.3">
      <c r="A18" s="47" t="s">
        <v>155</v>
      </c>
      <c r="B18" s="28"/>
      <c r="C18" s="28"/>
      <c r="D18" s="28"/>
      <c r="E18" s="28"/>
      <c r="G18" s="87" t="s">
        <v>97</v>
      </c>
      <c r="H18" s="87"/>
      <c r="I18" s="87"/>
      <c r="Z18" s="34"/>
      <c r="AA18" s="42" t="s">
        <v>139</v>
      </c>
      <c r="AB18" s="42" t="s">
        <v>140</v>
      </c>
      <c r="AC18" s="34"/>
      <c r="AD18" s="42" t="s">
        <v>139</v>
      </c>
      <c r="AE18" s="42" t="s">
        <v>140</v>
      </c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11"/>
    </row>
    <row r="19" spans="1:48" ht="75.75" thickBot="1" x14ac:dyDescent="0.3">
      <c r="A19" s="48" t="s">
        <v>146</v>
      </c>
      <c r="B19" s="112" t="s">
        <v>0</v>
      </c>
      <c r="C19" s="113"/>
      <c r="D19" s="49" t="s">
        <v>9</v>
      </c>
      <c r="E19" s="50" t="s">
        <v>1</v>
      </c>
      <c r="G19" s="4" t="s">
        <v>94</v>
      </c>
      <c r="H19" s="19" t="s">
        <v>112</v>
      </c>
      <c r="I19" s="19" t="s">
        <v>163</v>
      </c>
      <c r="J19" s="19" t="s">
        <v>114</v>
      </c>
      <c r="K19" s="19" t="s">
        <v>115</v>
      </c>
      <c r="L19" s="19" t="s">
        <v>103</v>
      </c>
      <c r="M19" s="19" t="s">
        <v>116</v>
      </c>
      <c r="N19" s="19" t="s">
        <v>107</v>
      </c>
      <c r="O19" s="19" t="s">
        <v>108</v>
      </c>
      <c r="P19" s="26" t="s">
        <v>110</v>
      </c>
      <c r="Q19" s="19"/>
      <c r="R19" s="19"/>
      <c r="S19" s="19"/>
      <c r="T19" s="19"/>
      <c r="U19" s="19"/>
      <c r="V19" s="19"/>
      <c r="W19" s="19"/>
      <c r="X19" s="17"/>
      <c r="Z19" s="34"/>
      <c r="AA19" s="34">
        <f>IF(D13=AA2,D15*AE2/2-AH6,IF(D13=AA3,D15*AE3/2-AL4,IF(D13=AA4,D15*AE4/2-AP5,IF(D13=AA5,D15*AE5/2-AT4,IF(AND(D13=AA6,I13=AA2),D15*I16/100/2-AH6,IF(AND(D13=AA6,I13=AA3),D15*I16/100/2-AL4,IF(AND(D13=AA6,I13=AA4),D15*I16/100/2-AP5,IF(AND(D13=AA6,I13=AA5),D15*I16/100/2-AT4))))))))</f>
        <v>828.86412982652496</v>
      </c>
      <c r="AB19" s="34">
        <f>IF(D13=AA2,D15*(1-AE2)/2-AI6,IF(D13=AA3,D15*(1-AE3)/2-AM4,IF(D13=AA4,D15*(1-AE4)/2-AQ5,IF(D13=AA5,D15*(1-AE5)/2-AU4,IF(AND(D13=AA6,I13=AA2),D15*(100-I16)/100/2-AI6,IF(AND(D13=AA6,I13=AA3),D15*(100-I16)/100/2-AM4,IF(AND(D13=AA6,I13=AA4),D15*(100-I16)/100/2-AQ5,IF(AND(D13=AA6,I13=AA5),D15*(100-I16)/100/2-AU4))))))))</f>
        <v>796.23587017347506</v>
      </c>
      <c r="AC19" s="34"/>
      <c r="AD19" s="34">
        <f>IF(AND(I14="No",I13=AA2),D16*AE2/2-AH6,IF(AND(I14="No",I13=AA3),D16*AE3/2-AL4,IF(AND(I14="No",I13=AA4),D16*AE4/2-AP5,IF(AND(I14="No",I13=AA5),D16*AE5/2-AT4,IF(AND(I14="Yes",I13=AA2),D16*I16/100/2-AH6,IF(AND(I14="Yes",I13=AA3),D16*I16/100/2-AL4,IF(AND(I14="Yes",I13=AA4),D16*I16/100/2-AP5,IF(AND(I14="Yes",I13=AA5),D16*I16/100/2-AT4))))))))</f>
        <v>828.86412982652496</v>
      </c>
      <c r="AE19" s="34">
        <f>IF(AND(I14="No",I13=AA2),D16*(1-AE2)/2-AI6,IF(AND(I14="No",I13=AA3),D16*(1-AE3)/2-AM4,IF(AND(I14="No",I13=AA4), D16*(1-AE4)/2-AQ5,IF(AND(I14="No",I13=AA5),D16*(1-AE5)/2-AU4, IF(AND(I14="Yes",I13=AA2),D16*(100-I16)/100/2-AI6,IF(AND(I14="Yes",I13=AA3),D16*(100-I16)/100/2-AM4,IF(AND(I14="Yes",I13=AA4),D16*(100-I16)/100/2-AQ5,IF(AND(I14="Yes",I13=AA5),D16*(100-I16)/100/2-AU4,))))))))</f>
        <v>796.23587017347506</v>
      </c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11"/>
    </row>
    <row r="20" spans="1:48" ht="15.75" thickBot="1" x14ac:dyDescent="0.3">
      <c r="A20" s="51"/>
      <c r="B20" s="52" t="s">
        <v>2</v>
      </c>
      <c r="C20" s="53" t="s">
        <v>3</v>
      </c>
      <c r="D20" s="54" t="s">
        <v>4</v>
      </c>
      <c r="E20" s="53"/>
      <c r="G20" s="100" t="s">
        <v>95</v>
      </c>
      <c r="H20" s="101" t="s">
        <v>96</v>
      </c>
      <c r="I20" s="102" t="s">
        <v>101</v>
      </c>
      <c r="J20" s="102" t="s">
        <v>101</v>
      </c>
      <c r="K20" s="102" t="s">
        <v>166</v>
      </c>
      <c r="L20" s="102" t="s">
        <v>104</v>
      </c>
      <c r="M20" s="102" t="s">
        <v>104</v>
      </c>
      <c r="N20" s="102" t="s">
        <v>105</v>
      </c>
      <c r="O20" s="102" t="s">
        <v>104</v>
      </c>
      <c r="P20" s="102"/>
      <c r="Q20" s="102"/>
      <c r="R20" s="102"/>
      <c r="S20" s="102"/>
      <c r="T20" s="104"/>
      <c r="U20" s="104"/>
      <c r="V20" s="104"/>
      <c r="W20" s="104"/>
      <c r="X20" s="103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11"/>
    </row>
    <row r="21" spans="1:48" ht="30.75" customHeight="1" thickBot="1" x14ac:dyDescent="0.3">
      <c r="A21" s="55" t="s">
        <v>147</v>
      </c>
      <c r="B21" s="21">
        <f>IF(O13="Valid", PI()*(SQRT( ((AA15+AA17)*(AB10^2) ) / AA19)), "-")</f>
        <v>1.2614485704827278</v>
      </c>
      <c r="C21" s="5">
        <f>IF(O13="Valid", PI()*(SQRT( ((AB15+AB17)*(AB11^2) ) / AB19)), "-")</f>
        <v>1.3987817239655009</v>
      </c>
      <c r="D21" s="6">
        <f>IF(O13="Valid", C21/B21, "-")</f>
        <v>1.1088694035542161</v>
      </c>
      <c r="E21" s="9" t="str">
        <f>IF(O13="Valid", IF(ABS(D21)&lt;1,"PITCH","FLAT RIDE"), "-")</f>
        <v>FLAT RIDE</v>
      </c>
      <c r="G21" s="100"/>
      <c r="H21" s="101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4"/>
      <c r="U21" s="104"/>
      <c r="V21" s="104"/>
      <c r="W21" s="104"/>
      <c r="X21" s="103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11"/>
    </row>
    <row r="22" spans="1:48" ht="30.75" customHeight="1" thickBot="1" x14ac:dyDescent="0.3">
      <c r="A22" s="56" t="s">
        <v>148</v>
      </c>
      <c r="B22" s="21">
        <f>IF(O14="Valid", PI()*(SQRT( ((AD15+AA17)*(AB10^2) ) / AD19)), "-")</f>
        <v>1.2614485704827278</v>
      </c>
      <c r="C22" s="5">
        <f>IF(O14="Valid", PI()*(SQRT( ((AE15+AB17)*(AB11^2) ) / AE19)), "-")</f>
        <v>1.3987817239655009</v>
      </c>
      <c r="D22" s="6">
        <f>IF(O14="Valid", C22/B22, "-")</f>
        <v>1.1088694035542161</v>
      </c>
      <c r="E22" s="9" t="str">
        <f>IF(O14="Valid", IF(ABS(D22)&lt;1,"PITCH","FLAT RIDE"), "-")</f>
        <v>FLAT RIDE</v>
      </c>
      <c r="G22" s="15" t="s">
        <v>98</v>
      </c>
      <c r="H22" s="1">
        <v>165.6</v>
      </c>
      <c r="I22" s="1">
        <v>165.6</v>
      </c>
      <c r="J22" s="1">
        <v>165.6</v>
      </c>
      <c r="K22" s="1">
        <v>194.2</v>
      </c>
      <c r="L22" s="1">
        <v>397.6</v>
      </c>
      <c r="M22" s="1">
        <v>285.5</v>
      </c>
      <c r="N22" s="1">
        <v>342.6</v>
      </c>
      <c r="O22" s="1">
        <v>336</v>
      </c>
      <c r="P22" s="1">
        <v>336</v>
      </c>
      <c r="Q22" s="1"/>
      <c r="R22" s="1"/>
      <c r="S22" s="1"/>
      <c r="T22" s="1"/>
      <c r="U22" s="1"/>
      <c r="V22" s="1"/>
      <c r="W22" s="1"/>
      <c r="X22" s="12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11"/>
    </row>
    <row r="23" spans="1:48" ht="45.75" customHeight="1" thickBot="1" x14ac:dyDescent="0.3">
      <c r="G23" s="16" t="s">
        <v>99</v>
      </c>
      <c r="H23" s="13">
        <v>491.1</v>
      </c>
      <c r="I23" s="13">
        <v>491.1</v>
      </c>
      <c r="J23" s="13">
        <v>491.1</v>
      </c>
      <c r="K23" s="13">
        <v>491.1</v>
      </c>
      <c r="L23" s="13">
        <v>565.6</v>
      </c>
      <c r="M23" s="13">
        <v>425.6</v>
      </c>
      <c r="N23" s="13">
        <v>913.6</v>
      </c>
      <c r="O23" s="13">
        <v>672</v>
      </c>
      <c r="P23" s="13">
        <v>728</v>
      </c>
      <c r="Q23" s="13"/>
      <c r="R23" s="13"/>
      <c r="S23" s="13"/>
      <c r="T23" s="13"/>
      <c r="U23" s="13"/>
      <c r="V23" s="13"/>
      <c r="W23" s="13"/>
      <c r="X23" s="1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11"/>
    </row>
    <row r="24" spans="1:4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11"/>
    </row>
    <row r="25" spans="1:4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</row>
    <row r="26" spans="1:4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</row>
    <row r="27" spans="1:4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</row>
    <row r="28" spans="1:4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</row>
  </sheetData>
  <sheetProtection algorithmName="SHA-512" hashValue="2TLqbXV+OxVjpfZDYCOJ0LqEujapQ1R0L/CgdBI7DVuzkhhiRi2EZzC+0uHUppzVawFZSZKPBWec3i1w61x7nw==" saltValue="93+ugr+rE+nnFFsHN5/tWw==" spinCount="100000" sheet="1" objects="1" scenarios="1"/>
  <mergeCells count="37">
    <mergeCell ref="T20:T21"/>
    <mergeCell ref="U20:U21"/>
    <mergeCell ref="V20:V21"/>
    <mergeCell ref="W20:W21"/>
    <mergeCell ref="X20:X21"/>
    <mergeCell ref="O20:O21"/>
    <mergeCell ref="P20:P21"/>
    <mergeCell ref="Q20:Q21"/>
    <mergeCell ref="R20:R21"/>
    <mergeCell ref="S20:S21"/>
    <mergeCell ref="J20:J21"/>
    <mergeCell ref="K20:K21"/>
    <mergeCell ref="L20:L21"/>
    <mergeCell ref="M20:M21"/>
    <mergeCell ref="N20:N21"/>
    <mergeCell ref="F16:H16"/>
    <mergeCell ref="G18:I18"/>
    <mergeCell ref="B19:C19"/>
    <mergeCell ref="G20:G21"/>
    <mergeCell ref="H20:H21"/>
    <mergeCell ref="I20:I21"/>
    <mergeCell ref="A8:S8"/>
    <mergeCell ref="A1:F1"/>
    <mergeCell ref="A2:F2"/>
    <mergeCell ref="A4:R4"/>
    <mergeCell ref="A5:S5"/>
    <mergeCell ref="A6:S6"/>
    <mergeCell ref="A7:S7"/>
    <mergeCell ref="H1:L1"/>
    <mergeCell ref="H2:L2"/>
    <mergeCell ref="F15:H15"/>
    <mergeCell ref="A13:C13"/>
    <mergeCell ref="A14:C14"/>
    <mergeCell ref="K13:M13"/>
    <mergeCell ref="Q13:S13"/>
    <mergeCell ref="K14:M14"/>
    <mergeCell ref="Q14:S14"/>
  </mergeCells>
  <conditionalFormatting sqref="O14">
    <cfRule type="cellIs" dxfId="23" priority="7" operator="equal">
      <formula>"Invalid"</formula>
    </cfRule>
    <cfRule type="cellIs" dxfId="22" priority="8" operator="equal">
      <formula>"Valid"</formula>
    </cfRule>
  </conditionalFormatting>
  <conditionalFormatting sqref="E21">
    <cfRule type="cellIs" dxfId="21" priority="5" operator="equal">
      <formula>"PITCH"</formula>
    </cfRule>
    <cfRule type="cellIs" dxfId="20" priority="6" operator="equal">
      <formula>"FLAT RIDE"</formula>
    </cfRule>
  </conditionalFormatting>
  <conditionalFormatting sqref="E22">
    <cfRule type="cellIs" dxfId="19" priority="3" operator="equal">
      <formula>"PITCH"</formula>
    </cfRule>
    <cfRule type="cellIs" dxfId="18" priority="4" operator="equal">
      <formula>"FLAT RIDE"</formula>
    </cfRule>
  </conditionalFormatting>
  <conditionalFormatting sqref="O13">
    <cfRule type="cellIs" dxfId="17" priority="1" operator="equal">
      <formula>"Invalid"</formula>
    </cfRule>
    <cfRule type="cellIs" dxfId="16" priority="2" operator="equal">
      <formula>"Valid"</formula>
    </cfRule>
  </conditionalFormatting>
  <dataValidations count="5">
    <dataValidation type="list" allowBlank="1" showInputMessage="1" showErrorMessage="1" sqref="D13 I13">
      <formula1>$AA$2:$AA$5</formula1>
    </dataValidation>
    <dataValidation type="list" allowBlank="1" showInputMessage="1" showErrorMessage="1" sqref="N14">
      <formula1>$AG$2:$AG$5</formula1>
    </dataValidation>
    <dataValidation type="list" allowBlank="1" showInputMessage="1" showErrorMessage="1" sqref="N13">
      <formula1>$AG$2:$AG$4</formula1>
    </dataValidation>
    <dataValidation type="list" allowBlank="1" showInputMessage="1" showErrorMessage="1" sqref="I14">
      <formula1>$AG$14:$AG$15</formula1>
    </dataValidation>
    <dataValidation type="whole" allowBlank="1" showInputMessage="1" showErrorMessage="1" sqref="D14">
      <formula1>0</formula1>
      <formula2>2000</formula2>
    </dataValidation>
  </dataValidations>
  <hyperlinks>
    <hyperlink ref="H2" r:id="rId1"/>
  </hyperlinks>
  <pageMargins left="0.7" right="0.7" top="0.75" bottom="0.75" header="0.3" footer="0.3"/>
  <pageSetup orientation="portrait" horizontalDpi="4294967293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workbookViewId="0">
      <selection activeCell="T13" sqref="T13:T14"/>
    </sheetView>
  </sheetViews>
  <sheetFormatPr defaultRowHeight="15" x14ac:dyDescent="0.25"/>
  <cols>
    <col min="1" max="1" width="25.140625" customWidth="1"/>
    <col min="4" max="4" width="11.28515625" bestFit="1" customWidth="1"/>
    <col min="7" max="9" width="11.7109375" customWidth="1"/>
    <col min="14" max="14" width="20.5703125" bestFit="1" customWidth="1"/>
    <col min="27" max="27" width="12.28515625" bestFit="1" customWidth="1"/>
    <col min="28" max="31" width="9.140625" customWidth="1"/>
    <col min="33" max="33" width="11.28515625" customWidth="1"/>
    <col min="37" max="37" width="11.28515625" customWidth="1"/>
    <col min="41" max="41" width="11.28515625" customWidth="1"/>
    <col min="45" max="45" width="11.28515625" customWidth="1"/>
  </cols>
  <sheetData>
    <row r="1" spans="1:48" s="25" customFormat="1" ht="45.75" customHeight="1" thickBot="1" x14ac:dyDescent="0.3">
      <c r="A1" s="90" t="s">
        <v>91</v>
      </c>
      <c r="B1" s="91"/>
      <c r="C1" s="91"/>
      <c r="D1" s="91"/>
      <c r="E1" s="91"/>
      <c r="F1" s="92"/>
      <c r="G1" s="57"/>
      <c r="H1" s="105" t="s">
        <v>173</v>
      </c>
      <c r="I1" s="106"/>
      <c r="J1" s="106"/>
      <c r="K1" s="106"/>
      <c r="L1" s="107"/>
      <c r="M1" s="28"/>
      <c r="N1" s="28"/>
      <c r="O1" s="57"/>
      <c r="P1" s="57"/>
      <c r="Q1" s="57"/>
      <c r="R1" s="57"/>
      <c r="S1" s="57"/>
      <c r="T1" s="57"/>
      <c r="Z1" s="32"/>
      <c r="AA1" s="33" t="s">
        <v>68</v>
      </c>
      <c r="AB1" s="33" t="s">
        <v>64</v>
      </c>
      <c r="AC1" s="33" t="s">
        <v>66</v>
      </c>
      <c r="AD1" s="33" t="s">
        <v>65</v>
      </c>
      <c r="AE1" s="33" t="s">
        <v>84</v>
      </c>
      <c r="AF1" s="33"/>
      <c r="AG1" s="33" t="s">
        <v>162</v>
      </c>
      <c r="AH1" s="33" t="s">
        <v>158</v>
      </c>
      <c r="AI1" s="33" t="s">
        <v>159</v>
      </c>
      <c r="AJ1" s="33"/>
      <c r="AK1" s="33" t="s">
        <v>70</v>
      </c>
      <c r="AL1" s="33" t="s">
        <v>158</v>
      </c>
      <c r="AM1" s="33" t="s">
        <v>159</v>
      </c>
      <c r="AN1" s="33"/>
      <c r="AO1" s="33" t="s">
        <v>161</v>
      </c>
      <c r="AP1" s="33" t="s">
        <v>158</v>
      </c>
      <c r="AQ1" s="33" t="s">
        <v>159</v>
      </c>
      <c r="AR1" s="33"/>
      <c r="AS1" s="33" t="s">
        <v>160</v>
      </c>
      <c r="AT1" s="33" t="s">
        <v>158</v>
      </c>
      <c r="AU1" s="33" t="s">
        <v>159</v>
      </c>
      <c r="AV1" s="32"/>
    </row>
    <row r="2" spans="1:48" ht="15.75" customHeight="1" thickBot="1" x14ac:dyDescent="0.3">
      <c r="A2" s="93" t="s">
        <v>63</v>
      </c>
      <c r="B2" s="94"/>
      <c r="C2" s="94"/>
      <c r="D2" s="94"/>
      <c r="E2" s="94"/>
      <c r="F2" s="95"/>
      <c r="G2" s="28"/>
      <c r="H2" s="108" t="s">
        <v>174</v>
      </c>
      <c r="I2" s="109"/>
      <c r="J2" s="109"/>
      <c r="K2" s="109"/>
      <c r="L2" s="109"/>
      <c r="M2" s="28"/>
      <c r="N2" s="28"/>
      <c r="O2" s="28"/>
      <c r="P2" s="28"/>
      <c r="Q2" s="28"/>
      <c r="R2" s="28"/>
      <c r="S2" s="28"/>
      <c r="T2" s="28"/>
      <c r="Z2" s="34"/>
      <c r="AA2" s="34" t="s">
        <v>69</v>
      </c>
      <c r="AB2" s="34">
        <v>3574</v>
      </c>
      <c r="AC2" s="34">
        <v>904</v>
      </c>
      <c r="AD2" s="34">
        <f>AB2/2-AC2</f>
        <v>883</v>
      </c>
      <c r="AE2" s="34">
        <f>AC2*2/AB2</f>
        <v>0.50587576944599888</v>
      </c>
      <c r="AF2" s="34"/>
      <c r="AG2" s="34" t="s">
        <v>76</v>
      </c>
      <c r="AH2" s="34">
        <v>138.24</v>
      </c>
      <c r="AI2" s="34">
        <v>178.66431499999999</v>
      </c>
      <c r="AJ2" s="34"/>
      <c r="AK2" s="34" t="s">
        <v>76</v>
      </c>
      <c r="AL2" s="34">
        <v>152.06399999999999</v>
      </c>
      <c r="AM2" s="34">
        <v>190.80654999999999</v>
      </c>
      <c r="AN2" s="34"/>
      <c r="AO2" s="34" t="s">
        <v>76</v>
      </c>
      <c r="AP2" s="34">
        <v>152.06399999999999</v>
      </c>
      <c r="AQ2" s="34">
        <v>190.80654999999999</v>
      </c>
      <c r="AR2" s="34"/>
      <c r="AS2" s="34" t="s">
        <v>76</v>
      </c>
      <c r="AT2" s="34">
        <v>161.28</v>
      </c>
      <c r="AU2" s="34">
        <v>190.80654999999999</v>
      </c>
      <c r="AV2" s="34"/>
    </row>
    <row r="3" spans="1:48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Z3" s="34"/>
      <c r="AA3" s="34" t="s">
        <v>70</v>
      </c>
      <c r="AB3" s="34">
        <v>3697</v>
      </c>
      <c r="AC3" s="34">
        <v>959</v>
      </c>
      <c r="AD3" s="34">
        <f t="shared" ref="AD3:AD5" si="0">AB3/2-AC3</f>
        <v>889.5</v>
      </c>
      <c r="AE3" s="34">
        <f t="shared" ref="AE3:AE5" si="1">AC3*2/AB3</f>
        <v>0.51879902623748986</v>
      </c>
      <c r="AF3" s="34"/>
      <c r="AG3" s="34" t="s">
        <v>79</v>
      </c>
      <c r="AH3" s="34">
        <v>138.24</v>
      </c>
      <c r="AI3" s="34">
        <v>178.66431499999999</v>
      </c>
      <c r="AJ3" s="34"/>
      <c r="AK3" s="34" t="s">
        <v>77</v>
      </c>
      <c r="AL3" s="34">
        <v>152.06399999999999</v>
      </c>
      <c r="AM3" s="34">
        <v>190.80654999999999</v>
      </c>
      <c r="AN3" s="34"/>
      <c r="AO3" s="34" t="s">
        <v>79</v>
      </c>
      <c r="AP3" s="34">
        <v>152.06399999999999</v>
      </c>
      <c r="AQ3" s="34">
        <v>190.80654999999999</v>
      </c>
      <c r="AR3" s="34"/>
      <c r="AS3" s="34" t="s">
        <v>77</v>
      </c>
      <c r="AT3" s="34">
        <v>161.28</v>
      </c>
      <c r="AU3" s="34">
        <v>190.80654999999999</v>
      </c>
      <c r="AV3" s="34"/>
    </row>
    <row r="4" spans="1:48" ht="15.75" customHeight="1" x14ac:dyDescent="0.25">
      <c r="A4" s="96" t="s">
        <v>90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58"/>
      <c r="T4" s="28"/>
      <c r="Z4" s="34"/>
      <c r="AA4" s="34" t="s">
        <v>71</v>
      </c>
      <c r="AB4" s="34">
        <v>3704</v>
      </c>
      <c r="AC4" s="34">
        <v>957</v>
      </c>
      <c r="AD4" s="34">
        <f t="shared" si="0"/>
        <v>895</v>
      </c>
      <c r="AE4" s="34">
        <f t="shared" si="1"/>
        <v>0.51673866090712739</v>
      </c>
      <c r="AF4" s="34"/>
      <c r="AG4" s="34" t="s">
        <v>78</v>
      </c>
      <c r="AH4" s="34">
        <v>198.14400000000001</v>
      </c>
      <c r="AI4" s="34">
        <v>244.57930499999998</v>
      </c>
      <c r="AJ4" s="34"/>
      <c r="AK4" s="35" t="s">
        <v>83</v>
      </c>
      <c r="AL4" s="34">
        <v>127.82</v>
      </c>
      <c r="AM4" s="35">
        <v>130</v>
      </c>
      <c r="AN4" s="34"/>
      <c r="AO4" s="34" t="s">
        <v>78</v>
      </c>
      <c r="AP4" s="34">
        <v>211.96799999999999</v>
      </c>
      <c r="AQ4" s="34">
        <v>244.57930499999998</v>
      </c>
      <c r="AR4" s="34"/>
      <c r="AS4" s="35" t="s">
        <v>83</v>
      </c>
      <c r="AT4" s="34">
        <v>127.82</v>
      </c>
      <c r="AU4" s="35">
        <v>134.41999999999999</v>
      </c>
      <c r="AV4" s="34"/>
    </row>
    <row r="5" spans="1:48" ht="15.75" customHeight="1" x14ac:dyDescent="0.25">
      <c r="A5" s="99" t="s">
        <v>168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28"/>
      <c r="Z5" s="34"/>
      <c r="AA5" s="34" t="s">
        <v>72</v>
      </c>
      <c r="AB5" s="34">
        <v>3827</v>
      </c>
      <c r="AC5" s="34">
        <v>1014</v>
      </c>
      <c r="AD5" s="34">
        <f t="shared" si="0"/>
        <v>899.5</v>
      </c>
      <c r="AE5" s="34">
        <f t="shared" si="1"/>
        <v>0.52991899660308339</v>
      </c>
      <c r="AF5" s="34"/>
      <c r="AG5" s="34" t="s">
        <v>67</v>
      </c>
      <c r="AH5" s="34"/>
      <c r="AI5" s="34"/>
      <c r="AJ5" s="34"/>
      <c r="AK5" s="34"/>
      <c r="AL5" s="34"/>
      <c r="AM5" s="34"/>
      <c r="AN5" s="34"/>
      <c r="AO5" s="35" t="s">
        <v>83</v>
      </c>
      <c r="AP5" s="35">
        <v>119.4</v>
      </c>
      <c r="AQ5" s="35">
        <v>134.41999999999999</v>
      </c>
      <c r="AR5" s="34"/>
      <c r="AS5" s="34"/>
      <c r="AT5" s="34"/>
      <c r="AU5" s="34"/>
      <c r="AV5" s="34"/>
    </row>
    <row r="6" spans="1:48" ht="15.75" customHeight="1" x14ac:dyDescent="0.25">
      <c r="A6" s="97" t="s">
        <v>169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28"/>
      <c r="Z6" s="34"/>
      <c r="AA6" s="34" t="s">
        <v>67</v>
      </c>
      <c r="AB6" s="34"/>
      <c r="AC6" s="34"/>
      <c r="AD6" s="34"/>
      <c r="AE6" s="34"/>
      <c r="AF6" s="34"/>
      <c r="AG6" s="35" t="s">
        <v>83</v>
      </c>
      <c r="AH6" s="35">
        <v>119.4</v>
      </c>
      <c r="AI6" s="35">
        <v>130</v>
      </c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15.75" customHeight="1" x14ac:dyDescent="0.25">
      <c r="A7" s="110" t="s">
        <v>89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28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</row>
    <row r="8" spans="1:48" ht="15.75" customHeight="1" x14ac:dyDescent="0.25">
      <c r="A8" s="97" t="s">
        <v>170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28"/>
      <c r="Z8" s="34"/>
      <c r="AA8" s="36"/>
      <c r="AB8" s="36"/>
      <c r="AC8" s="37"/>
      <c r="AD8" s="36"/>
      <c r="AE8" s="36"/>
      <c r="AF8" s="34"/>
      <c r="AG8" s="36" t="s">
        <v>5</v>
      </c>
      <c r="AH8" s="36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x14ac:dyDescent="0.25">
      <c r="A9" s="59" t="s">
        <v>92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28"/>
      <c r="Z9" s="34"/>
      <c r="AA9" s="36" t="s">
        <v>143</v>
      </c>
      <c r="AB9" s="36"/>
      <c r="AC9" s="37"/>
      <c r="AD9" s="36" t="s">
        <v>142</v>
      </c>
      <c r="AE9" s="36"/>
      <c r="AF9" s="34"/>
      <c r="AG9" s="38" t="s">
        <v>6</v>
      </c>
      <c r="AH9" s="38">
        <v>0.96</v>
      </c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</row>
    <row r="10" spans="1:48" x14ac:dyDescent="0.25">
      <c r="A10" s="61" t="s">
        <v>154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28"/>
      <c r="Z10" s="34"/>
      <c r="AA10" s="39" t="s">
        <v>6</v>
      </c>
      <c r="AB10" s="39">
        <v>0.96</v>
      </c>
      <c r="AC10" s="39"/>
      <c r="AD10" s="39" t="s">
        <v>6</v>
      </c>
      <c r="AE10" s="39">
        <v>0.96</v>
      </c>
      <c r="AF10" s="34"/>
      <c r="AG10" s="38" t="s">
        <v>3</v>
      </c>
      <c r="AH10" s="38">
        <v>1</v>
      </c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x14ac:dyDescent="0.25">
      <c r="A11" s="67"/>
      <c r="B11" s="31"/>
      <c r="C11" s="31"/>
      <c r="D11" s="31"/>
      <c r="E11" s="31"/>
      <c r="F11" s="68"/>
      <c r="G11" s="31"/>
      <c r="H11" s="31"/>
      <c r="I11" s="31"/>
      <c r="J11" s="31"/>
      <c r="K11" s="68"/>
      <c r="L11" s="31"/>
      <c r="M11" s="31"/>
      <c r="N11" s="31"/>
      <c r="O11" s="31"/>
      <c r="P11" s="68"/>
      <c r="Q11" s="31"/>
      <c r="R11" s="31"/>
      <c r="S11" s="31"/>
      <c r="T11" s="31"/>
      <c r="Z11" s="34"/>
      <c r="AA11" s="39" t="s">
        <v>61</v>
      </c>
      <c r="AB11" s="39">
        <v>0.58899999999999997</v>
      </c>
      <c r="AC11" s="39"/>
      <c r="AD11" s="39" t="s">
        <v>3</v>
      </c>
      <c r="AE11" s="39">
        <v>0.84199999999999997</v>
      </c>
      <c r="AF11" s="39"/>
      <c r="AG11" s="39"/>
      <c r="AH11" s="39"/>
      <c r="AI11" s="39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</row>
    <row r="12" spans="1:48" ht="15.75" thickBot="1" x14ac:dyDescent="0.3">
      <c r="A12" s="62" t="s">
        <v>93</v>
      </c>
      <c r="B12" s="28"/>
      <c r="C12" s="28"/>
      <c r="D12" s="28"/>
      <c r="E12" s="28"/>
      <c r="F12" s="47" t="s">
        <v>87</v>
      </c>
      <c r="G12" s="28"/>
      <c r="H12" s="28"/>
      <c r="I12" s="28"/>
      <c r="J12" s="28"/>
      <c r="K12" s="47" t="s">
        <v>75</v>
      </c>
      <c r="L12" s="28"/>
      <c r="M12" s="28"/>
      <c r="N12" s="28"/>
      <c r="O12" s="28"/>
      <c r="P12" s="28"/>
      <c r="Q12" s="47" t="s">
        <v>80</v>
      </c>
      <c r="R12" s="28"/>
      <c r="S12" s="28"/>
      <c r="T12" s="28"/>
      <c r="Z12" s="34"/>
      <c r="AA12" s="39" t="s">
        <v>62</v>
      </c>
      <c r="AB12" s="39">
        <v>0.84199999999999997</v>
      </c>
      <c r="AC12" s="39"/>
      <c r="AD12" s="39"/>
      <c r="AE12" s="39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ht="15.75" customHeight="1" thickBot="1" x14ac:dyDescent="0.3">
      <c r="A13" s="81" t="s">
        <v>153</v>
      </c>
      <c r="B13" s="82"/>
      <c r="C13" s="82"/>
      <c r="D13" s="76" t="s">
        <v>69</v>
      </c>
      <c r="F13" s="63" t="s">
        <v>85</v>
      </c>
      <c r="G13" s="29"/>
      <c r="H13" s="29"/>
      <c r="I13" s="72" t="s">
        <v>69</v>
      </c>
      <c r="K13" s="85" t="s">
        <v>152</v>
      </c>
      <c r="L13" s="86"/>
      <c r="M13" s="86"/>
      <c r="N13" s="78" t="s">
        <v>76</v>
      </c>
      <c r="O13" s="66" t="str">
        <f>IF(AND(ISNUMBER(AA15),ISNUMBER(AB15)), "Valid", "Invalid")</f>
        <v>Valid</v>
      </c>
      <c r="P13" s="28"/>
      <c r="Q13" s="114" t="s">
        <v>81</v>
      </c>
      <c r="R13" s="115"/>
      <c r="S13" s="115"/>
      <c r="T13" s="79">
        <v>150</v>
      </c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48" ht="15.75" customHeight="1" thickBot="1" x14ac:dyDescent="0.3">
      <c r="A14" s="81" t="s">
        <v>88</v>
      </c>
      <c r="B14" s="82"/>
      <c r="C14" s="82"/>
      <c r="D14" s="77">
        <v>175</v>
      </c>
      <c r="F14" s="64" t="s">
        <v>172</v>
      </c>
      <c r="G14" s="65"/>
      <c r="H14" s="65"/>
      <c r="I14" s="73" t="s">
        <v>150</v>
      </c>
      <c r="K14" s="85" t="s">
        <v>151</v>
      </c>
      <c r="L14" s="86"/>
      <c r="M14" s="86"/>
      <c r="N14" s="75" t="s">
        <v>76</v>
      </c>
      <c r="O14" s="66" t="str">
        <f>IF(AND(ISNUMBER(AD15),ISNUMBER(AE15)), "Valid", "Invalid")</f>
        <v>Valid</v>
      </c>
      <c r="P14" s="28"/>
      <c r="Q14" s="85" t="s">
        <v>82</v>
      </c>
      <c r="R14" s="86"/>
      <c r="S14" s="86"/>
      <c r="T14" s="75">
        <v>500</v>
      </c>
      <c r="Z14" s="34"/>
      <c r="AA14" s="40" t="s">
        <v>134</v>
      </c>
      <c r="AB14" s="41" t="s">
        <v>135</v>
      </c>
      <c r="AC14" s="42"/>
      <c r="AD14" s="40" t="s">
        <v>136</v>
      </c>
      <c r="AE14" s="41" t="s">
        <v>137</v>
      </c>
      <c r="AF14" s="34"/>
      <c r="AG14" s="34" t="s">
        <v>149</v>
      </c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8" ht="15.75" customHeight="1" thickBot="1" x14ac:dyDescent="0.3">
      <c r="A15" s="70" t="s">
        <v>156</v>
      </c>
      <c r="B15" s="71"/>
      <c r="C15" s="71"/>
      <c r="D15" s="45">
        <f>IF(D13=AA2,AB2,(IF(D13=AA3,AB3, IF(D13=AA4,AB4,IF(D13=AA5,AB5,IF(D13=AA6,AB6,IF(D13=AA7,I15,"No Value")))))))+D14</f>
        <v>3749</v>
      </c>
      <c r="E15" s="28"/>
      <c r="F15" s="83" t="s">
        <v>73</v>
      </c>
      <c r="G15" s="84"/>
      <c r="H15" s="84"/>
      <c r="I15" s="74">
        <v>4000</v>
      </c>
      <c r="P15" s="27"/>
      <c r="Q15" s="27"/>
      <c r="R15" s="27"/>
      <c r="S15" s="1"/>
      <c r="Z15" s="34"/>
      <c r="AA15" s="34">
        <f>(((IF(AND(D13=AA2,N13=AG2),AH2,IF(AND(D13=AA2,N13=AG3),AH3,IF(AND(D13=AA2,N13=AG4),AH4,IF(AND(D13=AA2,N13=AG5),T13,IF(AND(D13=AA3,N13=AG2),AL2,IF(AND(D13=AA3,N13=AG3),AL3,IF(AND(D13=AA3,N13=AG5),T13,IF(AND(D13=AA4,N13=AG2),AP2,IF(AND(D13=AA4,N13=AG3),AP3,IF(AND(D13=AA4,N13=AG4),AP4,IF(AND(D13=AA5,N13=AG2),AT2,IF(AND(D13=AA5,N13=AG3),AT3,"Invalid Config"))))))))))))))*1.0851)</f>
        <v>150.00422399999999</v>
      </c>
      <c r="AB15" s="34">
        <f>((IF(AND(D13=AA2,N13=AG2),AI2,IF(AND(D13=AA2,N13=AG3),AI3,IF(AND(D13=AA2,N13=AG4),AI4,IF(AND(D13=AA2,N13=AG5),T14,IF(AND(D13=AA3,N13=AG2),AM2,IF(AND(D13=AA3,N13=AG3),AM3,IF(AND(D13=AA3,N13=AG5),T14,IF(AND(D13=AA4,N13=AG2),AQ2,IF(AND(D13=AA4,N13=AG3),AQ3,IF(AND(D13=AA4,N13=AG4),AQ4,IF(AND(D13=AA4,N13=AG5),T14,IF(AND(D13=AA5,N13=AG2),AU2,IF(AND(D13=AA5,N13=AG3),AU3,IF(AND(D13=AA5,N13=AG5),T14,"Invalid Config"))))))))))))))*2.8825))</f>
        <v>514.99988798749996</v>
      </c>
      <c r="AC15" s="34"/>
      <c r="AD15" s="34">
        <f>((IF(AND(I13=AA2,N14=AG2),AH2,IF(AND(I13=AA2,N14=AG3),AH3,IF(AND(I13=AA2,N14=AG4),AH4,IF(AND(I13=AA2,N14=AG5),T13*0.9216,IF(AND(I13=AA3,N14=AG2),AL2,IF(AND(I13=AA3,N14=AG3),AL3,IF(AND(I13=AA3,N14=AG5),T13*0.9216,IF(AND(I13=AA4,N14=AG2),AP2,IF(AND(I13=AA4,N14=AG3),AP3,IF(AND(I13=AA4,N14=AG4),AP4,IF(AND(I13=AA4,N14=AG5),T13*0.9216,IF(AND(I13=AA5,N14=AG2),AT2,IF(AND(I13=AA5,N14=AG3),AT3,IF(AND(I13=AA5,N14=AG5),T13*0.9216,"Invalid Config"))))))))))))))*1.0851))</f>
        <v>150.00422399999999</v>
      </c>
      <c r="AE15" s="34">
        <f>((IF(AND(I13=AA2,N14=AG2),AI2,IF(AND(I13=AA2,N14=AG3),AI3,IF(AND(I13=AA2,N14=AG4),AI4,IF(AND(I13=AA2,N14=AG5),T14*0.346921,IF(AND(I13=AA3,N14=AG2),AM2,IF(AND(I13=AA3,N14=AG3),AM3,IF(AND(I13=AA3,N14=AG5),T14*0.346921,IF(AND(I13=AA4,N14=AG2),AQ2,IF(AND(I13=AA4,N14=AG3),AQ3,IF(AND(I13=AA4,N14=AG4),AQ4,IF(AND(I13=AA4,N14=AG5),T14*0.346921,IF(AND(I13=AA5,N14=AG2),AU2,IF(AND(I13=AA5,N14=AG3),AU3,IF(AND(I13=AA5,N14=AG5),T14*0.346921,"Invalid Config"))))))))))))))*2.8825))</f>
        <v>514.99988798749996</v>
      </c>
      <c r="AF15" s="34"/>
      <c r="AG15" s="34" t="s">
        <v>150</v>
      </c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</row>
    <row r="16" spans="1:48" ht="15.75" customHeight="1" thickBot="1" x14ac:dyDescent="0.3">
      <c r="A16" s="34" t="s">
        <v>157</v>
      </c>
      <c r="B16" s="34"/>
      <c r="C16" s="34"/>
      <c r="D16" s="46">
        <f>IF(AND(I13=AA2,I14="No"),AB2,(IF(AND(I13=AA3,I14="No"),AB3, IF(AND(I13=AA4,I14="No"),AB4,IF(AND(I13=AA5,I14="No"),AB5,IF(I14="Yes",I15,"No Value"))))))+D14</f>
        <v>3749</v>
      </c>
      <c r="E16" s="28"/>
      <c r="F16" s="88" t="s">
        <v>171</v>
      </c>
      <c r="G16" s="89"/>
      <c r="H16" s="89"/>
      <c r="I16" s="75">
        <v>55</v>
      </c>
      <c r="K16" s="27"/>
      <c r="L16" s="27"/>
      <c r="M16" s="27"/>
      <c r="P16" s="27"/>
      <c r="Q16" s="27"/>
      <c r="R16" s="27"/>
      <c r="Z16" s="34"/>
      <c r="AA16" s="40" t="s">
        <v>144</v>
      </c>
      <c r="AB16" s="41" t="s">
        <v>145</v>
      </c>
      <c r="AC16" s="34"/>
      <c r="AD16" s="43"/>
      <c r="AE16" s="4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x14ac:dyDescent="0.25">
      <c r="A17" s="28"/>
      <c r="B17" s="28"/>
      <c r="C17" s="28"/>
      <c r="D17" s="28"/>
      <c r="E17" s="28"/>
      <c r="F17" s="1"/>
      <c r="G17" s="1"/>
      <c r="H17" s="1"/>
      <c r="Z17" s="34"/>
      <c r="AA17" s="34">
        <v>0</v>
      </c>
      <c r="AB17" s="34">
        <v>0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1:48" ht="15.75" thickBot="1" x14ac:dyDescent="0.3">
      <c r="A18" s="47" t="s">
        <v>155</v>
      </c>
      <c r="B18" s="28"/>
      <c r="C18" s="28"/>
      <c r="D18" s="28"/>
      <c r="E18" s="28"/>
      <c r="G18" s="87" t="s">
        <v>97</v>
      </c>
      <c r="H18" s="87"/>
      <c r="I18" s="87"/>
      <c r="Z18" s="34"/>
      <c r="AA18" s="42" t="s">
        <v>139</v>
      </c>
      <c r="AB18" s="42" t="s">
        <v>140</v>
      </c>
      <c r="AC18" s="34"/>
      <c r="AD18" s="42" t="s">
        <v>139</v>
      </c>
      <c r="AE18" s="42" t="s">
        <v>140</v>
      </c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ht="75.75" thickBot="1" x14ac:dyDescent="0.3">
      <c r="A19" s="48" t="s">
        <v>146</v>
      </c>
      <c r="B19" s="112" t="s">
        <v>0</v>
      </c>
      <c r="C19" s="113"/>
      <c r="D19" s="49" t="s">
        <v>9</v>
      </c>
      <c r="E19" s="50" t="s">
        <v>1</v>
      </c>
      <c r="G19" s="4" t="s">
        <v>94</v>
      </c>
      <c r="H19" s="26" t="s">
        <v>112</v>
      </c>
      <c r="I19" s="26" t="s">
        <v>163</v>
      </c>
      <c r="J19" s="26" t="s">
        <v>114</v>
      </c>
      <c r="K19" s="26" t="s">
        <v>115</v>
      </c>
      <c r="L19" s="26" t="s">
        <v>103</v>
      </c>
      <c r="M19" s="26" t="s">
        <v>116</v>
      </c>
      <c r="N19" s="26" t="s">
        <v>107</v>
      </c>
      <c r="O19" s="26" t="s">
        <v>108</v>
      </c>
      <c r="P19" s="26"/>
      <c r="Q19" s="26"/>
      <c r="R19" s="26"/>
      <c r="S19" s="26"/>
      <c r="T19" s="26"/>
      <c r="U19" s="26"/>
      <c r="V19" s="26"/>
      <c r="W19" s="26"/>
      <c r="X19" s="17"/>
      <c r="Z19" s="34"/>
      <c r="AA19" s="34">
        <f>IF(D13=AA2,D15*AE2/2-AH6,IF(D13=AA3,D15*AE3/2-AL4,IF(D13=AA4,D15*AE4/2-AP5,IF(D13=AA5,D15*AE5/2-AT4,IF(AND(D13=AA6,I13=AA2),D15*I16/100/2-AH6,IF(AND(D13=AA6,I13=AA3),D15*I16/100/2-AL4,IF(AND(D13=AA6,I13=AA4),D15*I16/100/2-AP5,IF(AND(D13=AA6,I13=AA5),D15*I16/100/2-AT4))))))))</f>
        <v>828.86412982652496</v>
      </c>
      <c r="AB19" s="34">
        <f>IF(D13=AA2,D15*(1-AE2)/2-AI6,IF(D13=AA3,D15*(1-AE3)/2-AM4,IF(D13=AA4,D15*(1-AE4)/2-AQ5,IF(D13=AA5,D15*(1-AE5)/2-AU4,IF(AND(D13=AA6,I13=AA2),D15*(100-I16)/100/2-AI6,IF(AND(D13=AA6,I13=AA3),D15*(100-I16)/100/2-AM4,IF(AND(D13=AA6,I13=AA4),D15*(100-I16)/100/2-AQ5,IF(AND(D13=AA6,I13=AA5),D15*(100-I16)/100/2-AU4))))))))</f>
        <v>796.23587017347506</v>
      </c>
      <c r="AC19" s="34"/>
      <c r="AD19" s="34">
        <f>IF(AND(I14="No",I13=AA2),D16*AE2/2-AH6,IF(AND(I14="No",I13=AA3),D16*AE3/2-AL4,IF(AND(I14="No",I13=AA4),D16*AE4/2-AP5,IF(AND(I14="No",I13=AA5),D16*AE5/2-AT4,IF(AND(I14="Yes",I13=AA2),D16*I16/100/2-AH6,IF(AND(I14="Yes",I13=AA3),D16*I16/100/2-AL4,IF(AND(I14="Yes",I13=AA4),D16*I16/100/2-AP5,IF(AND(I14="Yes",I13=AA5),D16*I16/100/2-AT4))))))))</f>
        <v>828.86412982652496</v>
      </c>
      <c r="AE19" s="34">
        <f>IF(AND(I14="No",I13=AA2),D16*(1-AE2)/2-AI6,IF(AND(I14="No",I13=AA3),D16*(1-AE3)/2-AM4,IF(AND(I14="No",I13=AA4), D16*(1-AE4)/2-AQ5,IF(AND(I14="No",I13=AA5),D16*(1-AE5)/2-AU4, IF(AND(I14="Yes",I13=AA2),D16*(100-I16)/100/2-AI6,IF(AND(I14="Yes",I13=AA3),D16*(100-I16)/100/2-AM4,IF(AND(I14="Yes",I13=AA4),D16*(100-I16)/100/2-AQ5,IF(AND(I14="Yes",I13=AA5),D16*(100-I16)/100/2-AU4,))))))))</f>
        <v>796.23587017347506</v>
      </c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</row>
    <row r="20" spans="1:48" ht="15.75" thickBot="1" x14ac:dyDescent="0.3">
      <c r="A20" s="51"/>
      <c r="B20" s="52" t="s">
        <v>2</v>
      </c>
      <c r="C20" s="53" t="s">
        <v>3</v>
      </c>
      <c r="D20" s="54" t="s">
        <v>4</v>
      </c>
      <c r="E20" s="53"/>
      <c r="G20" s="100" t="s">
        <v>95</v>
      </c>
      <c r="H20" s="101" t="s">
        <v>96</v>
      </c>
      <c r="I20" s="102" t="s">
        <v>100</v>
      </c>
      <c r="J20" s="102" t="s">
        <v>167</v>
      </c>
      <c r="K20" s="102" t="s">
        <v>102</v>
      </c>
      <c r="L20" s="102" t="s">
        <v>104</v>
      </c>
      <c r="M20" s="102" t="s">
        <v>104</v>
      </c>
      <c r="N20" s="102" t="s">
        <v>105</v>
      </c>
      <c r="O20" s="102" t="s">
        <v>104</v>
      </c>
      <c r="P20" s="102"/>
      <c r="Q20" s="102"/>
      <c r="R20" s="102"/>
      <c r="S20" s="102"/>
      <c r="T20" s="104"/>
      <c r="U20" s="104"/>
      <c r="V20" s="104"/>
      <c r="W20" s="104"/>
      <c r="X20" s="103"/>
    </row>
    <row r="21" spans="1:48" ht="30.75" customHeight="1" thickBot="1" x14ac:dyDescent="0.3">
      <c r="A21" s="55" t="s">
        <v>147</v>
      </c>
      <c r="B21" s="21">
        <f>IF(O13="Valid", PI()*(SQRT( ((AA15+AA17)*(AB10^2) ) / AA19)), "-")</f>
        <v>1.2830133560084718</v>
      </c>
      <c r="C21" s="5">
        <f>IF(O13="Valid", PI()*(SQRT( ((AB15+AB17)*(AB11^2) ) / AB19)), "-")</f>
        <v>1.4881539639708998</v>
      </c>
      <c r="D21" s="6">
        <f>IF(O13="Valid", C21/B21, "-")</f>
        <v>1.1598896901592921</v>
      </c>
      <c r="E21" s="9" t="str">
        <f>IF(O13="Valid", IF(ABS(D21)&lt;1,"PITCH","FLAT RIDE"), "-")</f>
        <v>FLAT RIDE</v>
      </c>
      <c r="G21" s="100"/>
      <c r="H21" s="101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4"/>
      <c r="U21" s="104"/>
      <c r="V21" s="104"/>
      <c r="W21" s="104"/>
      <c r="X21" s="103"/>
      <c r="AH21" s="11"/>
      <c r="AI21" s="11"/>
      <c r="AJ21" s="1"/>
      <c r="AK21" s="1"/>
      <c r="AL21" s="11"/>
      <c r="AM21" s="11"/>
      <c r="AO21" s="1"/>
      <c r="AP21" s="11"/>
      <c r="AQ21" s="11"/>
      <c r="AR21" s="1"/>
      <c r="AS21" s="1"/>
      <c r="AT21" s="11"/>
      <c r="AU21" s="11"/>
    </row>
    <row r="22" spans="1:48" ht="30.75" customHeight="1" thickBot="1" x14ac:dyDescent="0.3">
      <c r="A22" s="56" t="s">
        <v>148</v>
      </c>
      <c r="B22" s="21">
        <f>IF(O14="Valid", PI()*(SQRT( ((AD15+AA17)*(AB10^2) ) / AD19)), "-")</f>
        <v>1.2830133560084718</v>
      </c>
      <c r="C22" s="5">
        <f>IF(O14="Valid", PI()*(SQRT( ((AE15+AB17)*(AB11^2) ) / AE19)), "-")</f>
        <v>1.4881539639708998</v>
      </c>
      <c r="D22" s="6">
        <f>IF(O14="Valid", C22/B22, "-")</f>
        <v>1.1598896901592921</v>
      </c>
      <c r="E22" s="9" t="str">
        <f>IF(O14="Valid", IF(ABS(D22)&lt;1,"PITCH","FLAT RIDE"), "-")</f>
        <v>FLAT RIDE</v>
      </c>
      <c r="G22" s="15" t="s">
        <v>98</v>
      </c>
      <c r="H22" s="1">
        <v>165.6</v>
      </c>
      <c r="I22" s="1">
        <v>165.6</v>
      </c>
      <c r="J22" s="1">
        <v>165.6</v>
      </c>
      <c r="K22" s="1">
        <v>194.2</v>
      </c>
      <c r="L22" s="1">
        <v>397.6</v>
      </c>
      <c r="M22" s="1">
        <v>285.5</v>
      </c>
      <c r="N22" s="1">
        <v>342.6</v>
      </c>
      <c r="O22" s="1">
        <v>336</v>
      </c>
      <c r="P22" s="1"/>
      <c r="Q22" s="1"/>
      <c r="R22" s="1"/>
      <c r="S22" s="1"/>
      <c r="T22" s="1"/>
      <c r="U22" s="1"/>
      <c r="V22" s="1"/>
      <c r="W22" s="1"/>
      <c r="X22" s="12"/>
      <c r="AH22" s="11"/>
      <c r="AI22" s="11"/>
      <c r="AJ22" s="1"/>
      <c r="AK22" s="1"/>
      <c r="AL22" s="11"/>
      <c r="AM22" s="11"/>
      <c r="AO22" s="1"/>
      <c r="AP22" s="11"/>
      <c r="AQ22" s="11"/>
      <c r="AR22" s="1"/>
      <c r="AS22" s="1"/>
      <c r="AT22" s="11"/>
      <c r="AU22" s="11"/>
    </row>
    <row r="23" spans="1:48" ht="30.75" thickBot="1" x14ac:dyDescent="0.3">
      <c r="G23" s="16" t="s">
        <v>99</v>
      </c>
      <c r="H23" s="13">
        <v>491.1</v>
      </c>
      <c r="I23" s="13">
        <v>542.5</v>
      </c>
      <c r="J23" s="13">
        <v>491.1</v>
      </c>
      <c r="K23" s="13">
        <v>542.5</v>
      </c>
      <c r="L23" s="13">
        <v>565.6</v>
      </c>
      <c r="M23" s="13">
        <v>425.6</v>
      </c>
      <c r="N23" s="13">
        <v>913.6</v>
      </c>
      <c r="O23" s="13">
        <v>672</v>
      </c>
      <c r="P23" s="13"/>
      <c r="Q23" s="13"/>
      <c r="R23" s="13"/>
      <c r="S23" s="13"/>
      <c r="T23" s="13"/>
      <c r="U23" s="13"/>
      <c r="V23" s="13"/>
      <c r="W23" s="13"/>
      <c r="X23" s="14"/>
      <c r="AH23" s="11"/>
      <c r="AI23" s="11"/>
      <c r="AJ23" s="1"/>
      <c r="AK23" s="1"/>
      <c r="AL23" s="1"/>
      <c r="AM23" s="1"/>
      <c r="AO23" s="1"/>
      <c r="AP23" s="11"/>
      <c r="AQ23" s="11"/>
      <c r="AR23" s="1"/>
      <c r="AS23" s="1"/>
      <c r="AT23" s="1"/>
      <c r="AU23" s="1"/>
    </row>
    <row r="24" spans="1:4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AH24" s="1"/>
      <c r="AI24" s="1"/>
      <c r="AJ24" s="1"/>
      <c r="AK24" s="1"/>
      <c r="AL24" s="1"/>
      <c r="AM24" s="1"/>
      <c r="AO24" s="1"/>
      <c r="AP24" s="1"/>
      <c r="AQ24" s="1"/>
      <c r="AR24" s="1"/>
      <c r="AS24" s="1"/>
      <c r="AT24" s="1"/>
      <c r="AU24" s="1"/>
    </row>
    <row r="25" spans="1:4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AH25" s="1"/>
      <c r="AI25" s="1"/>
      <c r="AJ25" s="1"/>
      <c r="AK25" s="1"/>
      <c r="AL25" s="1"/>
      <c r="AM25" s="1"/>
      <c r="AO25" s="1"/>
      <c r="AP25" s="1"/>
      <c r="AQ25" s="1"/>
      <c r="AR25" s="1"/>
      <c r="AS25" s="1"/>
      <c r="AT25" s="1"/>
      <c r="AU25" s="1"/>
    </row>
    <row r="26" spans="1:4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AH26" s="1"/>
      <c r="AI26" s="1"/>
      <c r="AJ26" s="1"/>
      <c r="AK26" s="1"/>
      <c r="AL26" s="1"/>
      <c r="AM26" s="1"/>
      <c r="AO26" s="1"/>
      <c r="AP26" s="1"/>
      <c r="AQ26" s="1"/>
      <c r="AR26" s="1"/>
      <c r="AS26" s="1"/>
      <c r="AT26" s="1"/>
      <c r="AU26" s="1"/>
    </row>
    <row r="27" spans="1:4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AH27" s="1"/>
      <c r="AI27" s="1"/>
      <c r="AJ27" s="1"/>
      <c r="AK27" s="1"/>
      <c r="AL27" s="1"/>
      <c r="AM27" s="1"/>
      <c r="AO27" s="1"/>
      <c r="AP27" s="1"/>
      <c r="AQ27" s="1"/>
      <c r="AR27" s="1"/>
      <c r="AS27" s="1"/>
      <c r="AT27" s="1"/>
      <c r="AU27" s="1"/>
    </row>
    <row r="28" spans="1:4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AO28" s="1"/>
      <c r="AP28" s="1"/>
      <c r="AQ28" s="1"/>
      <c r="AR28" s="1"/>
      <c r="AS28" s="1"/>
      <c r="AT28" s="1"/>
      <c r="AU28" s="1"/>
    </row>
  </sheetData>
  <sheetProtection algorithmName="SHA-512" hashValue="mrOFJl2kuXlLAajepZjz4JRYZOwgnejI4pBcbmMGjVnA4M8duv6DHNWZBkVKqB9p47srDCTdFQCljcAa7HrBEg==" saltValue="Zl4pefXL+qZT2t7gZT21xA==" spinCount="100000" sheet="1" objects="1" scenarios="1"/>
  <mergeCells count="37">
    <mergeCell ref="V20:V21"/>
    <mergeCell ref="W20:W21"/>
    <mergeCell ref="X20:X21"/>
    <mergeCell ref="P20:P21"/>
    <mergeCell ref="Q20:Q21"/>
    <mergeCell ref="R20:R21"/>
    <mergeCell ref="S20:S21"/>
    <mergeCell ref="T20:T21"/>
    <mergeCell ref="U20:U21"/>
    <mergeCell ref="O20:O21"/>
    <mergeCell ref="F15:H15"/>
    <mergeCell ref="F16:H16"/>
    <mergeCell ref="G18:I18"/>
    <mergeCell ref="B19:C19"/>
    <mergeCell ref="G20:G21"/>
    <mergeCell ref="H20:H21"/>
    <mergeCell ref="I20:I21"/>
    <mergeCell ref="J20:J21"/>
    <mergeCell ref="K20:K21"/>
    <mergeCell ref="L20:L21"/>
    <mergeCell ref="M20:M21"/>
    <mergeCell ref="N20:N21"/>
    <mergeCell ref="A13:C13"/>
    <mergeCell ref="K13:M13"/>
    <mergeCell ref="Q13:S13"/>
    <mergeCell ref="A14:C14"/>
    <mergeCell ref="K14:M14"/>
    <mergeCell ref="Q14:S14"/>
    <mergeCell ref="A6:S6"/>
    <mergeCell ref="A8:S8"/>
    <mergeCell ref="A1:F1"/>
    <mergeCell ref="A2:F2"/>
    <mergeCell ref="A4:R4"/>
    <mergeCell ref="A5:S5"/>
    <mergeCell ref="A7:S7"/>
    <mergeCell ref="H1:L1"/>
    <mergeCell ref="H2:L2"/>
  </mergeCells>
  <conditionalFormatting sqref="O14">
    <cfRule type="cellIs" dxfId="15" priority="7" operator="equal">
      <formula>"Invalid"</formula>
    </cfRule>
    <cfRule type="cellIs" dxfId="14" priority="8" operator="equal">
      <formula>"Valid"</formula>
    </cfRule>
  </conditionalFormatting>
  <conditionalFormatting sqref="E21">
    <cfRule type="cellIs" dxfId="13" priority="5" operator="equal">
      <formula>"PITCH"</formula>
    </cfRule>
    <cfRule type="cellIs" dxfId="12" priority="6" operator="equal">
      <formula>"FLAT RIDE"</formula>
    </cfRule>
  </conditionalFormatting>
  <conditionalFormatting sqref="E22">
    <cfRule type="cellIs" dxfId="11" priority="3" operator="equal">
      <formula>"PITCH"</formula>
    </cfRule>
    <cfRule type="cellIs" dxfId="10" priority="4" operator="equal">
      <formula>"FLAT RIDE"</formula>
    </cfRule>
  </conditionalFormatting>
  <conditionalFormatting sqref="O13">
    <cfRule type="cellIs" dxfId="9" priority="1" operator="equal">
      <formula>"Invalid"</formula>
    </cfRule>
    <cfRule type="cellIs" dxfId="8" priority="2" operator="equal">
      <formula>"Valid"</formula>
    </cfRule>
  </conditionalFormatting>
  <dataValidations count="5">
    <dataValidation type="list" allowBlank="1" showInputMessage="1" showErrorMessage="1" sqref="I14">
      <formula1>$AG$14:$AG$15</formula1>
    </dataValidation>
    <dataValidation type="list" allowBlank="1" showInputMessage="1" showErrorMessage="1" sqref="N13">
      <formula1>$AG$2:$AG$4</formula1>
    </dataValidation>
    <dataValidation type="list" allowBlank="1" showInputMessage="1" showErrorMessage="1" sqref="N14">
      <formula1>$AG$2:$AG$5</formula1>
    </dataValidation>
    <dataValidation type="list" allowBlank="1" showInputMessage="1" showErrorMessage="1" sqref="D13 I13">
      <formula1>$AA$2:$AA$5</formula1>
    </dataValidation>
    <dataValidation type="whole" allowBlank="1" showInputMessage="1" showErrorMessage="1" sqref="D14">
      <formula1>0</formula1>
      <formula2>2000</formula2>
    </dataValidation>
  </dataValidations>
  <hyperlinks>
    <hyperlink ref="H2" r:id="rId1"/>
  </hyperlinks>
  <pageMargins left="0.7" right="0.7" top="0.75" bottom="0.75" header="0.3" footer="0.3"/>
  <pageSetup orientation="portrait" horizontalDpi="4294967293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workbookViewId="0">
      <selection activeCell="D13" sqref="D13"/>
    </sheetView>
  </sheetViews>
  <sheetFormatPr defaultRowHeight="15" x14ac:dyDescent="0.25"/>
  <cols>
    <col min="1" max="1" width="25.140625" customWidth="1"/>
    <col min="4" max="4" width="11.28515625" bestFit="1" customWidth="1"/>
    <col min="7" max="9" width="11.7109375" customWidth="1"/>
    <col min="14" max="14" width="20.5703125" bestFit="1" customWidth="1"/>
    <col min="27" max="27" width="12.28515625" bestFit="1" customWidth="1"/>
    <col min="28" max="31" width="9.140625" customWidth="1"/>
    <col min="33" max="33" width="11.28515625" customWidth="1"/>
    <col min="37" max="37" width="11.28515625" customWidth="1"/>
    <col min="41" max="41" width="11.28515625" customWidth="1"/>
    <col min="45" max="45" width="11.28515625" customWidth="1"/>
  </cols>
  <sheetData>
    <row r="1" spans="1:48" s="25" customFormat="1" ht="45.75" customHeight="1" thickBot="1" x14ac:dyDescent="0.3">
      <c r="A1" s="90" t="s">
        <v>91</v>
      </c>
      <c r="B1" s="91"/>
      <c r="C1" s="91"/>
      <c r="D1" s="91"/>
      <c r="E1" s="91"/>
      <c r="F1" s="92"/>
      <c r="G1" s="57"/>
      <c r="H1" s="105" t="s">
        <v>173</v>
      </c>
      <c r="I1" s="106"/>
      <c r="J1" s="106"/>
      <c r="K1" s="106"/>
      <c r="L1" s="107"/>
      <c r="M1" s="28"/>
      <c r="N1" s="28"/>
      <c r="O1" s="57"/>
      <c r="P1" s="57"/>
      <c r="Q1" s="57"/>
      <c r="R1" s="57"/>
      <c r="S1" s="57"/>
      <c r="T1" s="57"/>
      <c r="Z1" s="32"/>
      <c r="AA1" s="33" t="s">
        <v>68</v>
      </c>
      <c r="AB1" s="33" t="s">
        <v>64</v>
      </c>
      <c r="AC1" s="33" t="s">
        <v>66</v>
      </c>
      <c r="AD1" s="33" t="s">
        <v>65</v>
      </c>
      <c r="AE1" s="33" t="s">
        <v>84</v>
      </c>
      <c r="AF1" s="33"/>
      <c r="AG1" s="33" t="s">
        <v>162</v>
      </c>
      <c r="AH1" s="33" t="s">
        <v>158</v>
      </c>
      <c r="AI1" s="33" t="s">
        <v>159</v>
      </c>
      <c r="AJ1" s="33"/>
      <c r="AK1" s="33" t="s">
        <v>70</v>
      </c>
      <c r="AL1" s="33" t="s">
        <v>158</v>
      </c>
      <c r="AM1" s="33" t="s">
        <v>159</v>
      </c>
      <c r="AN1" s="33"/>
      <c r="AO1" s="33" t="s">
        <v>161</v>
      </c>
      <c r="AP1" s="33" t="s">
        <v>158</v>
      </c>
      <c r="AQ1" s="33" t="s">
        <v>159</v>
      </c>
      <c r="AR1" s="33"/>
      <c r="AS1" s="33" t="s">
        <v>160</v>
      </c>
      <c r="AT1" s="33" t="s">
        <v>158</v>
      </c>
      <c r="AU1" s="33" t="s">
        <v>159</v>
      </c>
      <c r="AV1" s="32"/>
    </row>
    <row r="2" spans="1:48" ht="15.75" customHeight="1" thickBot="1" x14ac:dyDescent="0.3">
      <c r="A2" s="93" t="s">
        <v>63</v>
      </c>
      <c r="B2" s="94"/>
      <c r="C2" s="94"/>
      <c r="D2" s="94"/>
      <c r="E2" s="94"/>
      <c r="F2" s="95"/>
      <c r="G2" s="28"/>
      <c r="H2" s="108" t="s">
        <v>174</v>
      </c>
      <c r="I2" s="109"/>
      <c r="J2" s="109"/>
      <c r="K2" s="109"/>
      <c r="L2" s="109"/>
      <c r="M2" s="28"/>
      <c r="N2" s="28"/>
      <c r="O2" s="28"/>
      <c r="P2" s="28"/>
      <c r="Q2" s="28"/>
      <c r="R2" s="28"/>
      <c r="S2" s="28"/>
      <c r="T2" s="28"/>
      <c r="Z2" s="34"/>
      <c r="AA2" s="34" t="s">
        <v>69</v>
      </c>
      <c r="AB2" s="34" t="s">
        <v>74</v>
      </c>
      <c r="AC2" s="34" t="s">
        <v>74</v>
      </c>
      <c r="AD2" s="34" t="s">
        <v>74</v>
      </c>
      <c r="AE2" s="34" t="s">
        <v>74</v>
      </c>
      <c r="AF2" s="34" t="s">
        <v>70</v>
      </c>
      <c r="AG2" s="34" t="s">
        <v>76</v>
      </c>
      <c r="AH2" s="34" t="s">
        <v>74</v>
      </c>
      <c r="AI2" s="34" t="s">
        <v>74</v>
      </c>
      <c r="AJ2" s="34"/>
      <c r="AK2" s="34" t="s">
        <v>76</v>
      </c>
      <c r="AL2" s="34">
        <v>124.416</v>
      </c>
      <c r="AM2" s="34">
        <v>168.25668499999998</v>
      </c>
      <c r="AN2" s="34"/>
      <c r="AO2" s="34" t="s">
        <v>76</v>
      </c>
      <c r="AP2" s="34" t="s">
        <v>74</v>
      </c>
      <c r="AQ2" s="34" t="s">
        <v>74</v>
      </c>
      <c r="AR2" s="34"/>
      <c r="AS2" s="34" t="s">
        <v>76</v>
      </c>
      <c r="AT2" s="34">
        <v>133.63200000000001</v>
      </c>
      <c r="AU2" s="34">
        <v>168.25668499999998</v>
      </c>
      <c r="AV2" s="34"/>
    </row>
    <row r="3" spans="1:48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Z3" s="34"/>
      <c r="AA3" s="34" t="s">
        <v>70</v>
      </c>
      <c r="AB3" s="34">
        <v>4015</v>
      </c>
      <c r="AC3" s="34">
        <v>973.5</v>
      </c>
      <c r="AD3" s="34">
        <f t="shared" ref="AD3:AD5" si="0">AB3/2-AC3</f>
        <v>1034</v>
      </c>
      <c r="AE3" s="34">
        <f t="shared" ref="AE3:AE5" si="1">AC3*2/AB3</f>
        <v>0.48493150684931507</v>
      </c>
      <c r="AF3" s="34" t="s">
        <v>72</v>
      </c>
      <c r="AG3" s="34" t="s">
        <v>77</v>
      </c>
      <c r="AH3" s="34" t="s">
        <v>74</v>
      </c>
      <c r="AI3" s="34" t="s">
        <v>74</v>
      </c>
      <c r="AJ3" s="34"/>
      <c r="AK3" s="34" t="s">
        <v>77</v>
      </c>
      <c r="AL3" s="34">
        <v>152.06399999999999</v>
      </c>
      <c r="AM3" s="34">
        <v>202.94878499999999</v>
      </c>
      <c r="AN3" s="34"/>
      <c r="AO3" s="34" t="s">
        <v>79</v>
      </c>
      <c r="AP3" s="34" t="s">
        <v>74</v>
      </c>
      <c r="AQ3" s="34" t="s">
        <v>74</v>
      </c>
      <c r="AR3" s="34"/>
      <c r="AS3" s="34" t="s">
        <v>77</v>
      </c>
      <c r="AT3" s="34">
        <v>161.28</v>
      </c>
      <c r="AU3" s="34">
        <v>202.94878499999999</v>
      </c>
      <c r="AV3" s="34"/>
    </row>
    <row r="4" spans="1:48" ht="15.75" customHeight="1" x14ac:dyDescent="0.25">
      <c r="A4" s="96" t="s">
        <v>90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58"/>
      <c r="T4" s="28"/>
      <c r="Z4" s="34"/>
      <c r="AA4" s="34" t="s">
        <v>71</v>
      </c>
      <c r="AB4" s="34" t="s">
        <v>74</v>
      </c>
      <c r="AC4" s="34" t="s">
        <v>74</v>
      </c>
      <c r="AD4" s="34" t="s">
        <v>74</v>
      </c>
      <c r="AE4" s="34" t="s">
        <v>74</v>
      </c>
      <c r="AF4" s="34" t="s">
        <v>67</v>
      </c>
      <c r="AG4" s="34" t="s">
        <v>67</v>
      </c>
      <c r="AH4" s="34" t="s">
        <v>74</v>
      </c>
      <c r="AI4" s="34" t="s">
        <v>74</v>
      </c>
      <c r="AJ4" s="34"/>
      <c r="AK4" s="35" t="s">
        <v>83</v>
      </c>
      <c r="AL4" s="34">
        <v>127.82</v>
      </c>
      <c r="AM4" s="35">
        <v>130</v>
      </c>
      <c r="AN4" s="34"/>
      <c r="AO4" s="34" t="s">
        <v>78</v>
      </c>
      <c r="AP4" s="34" t="s">
        <v>74</v>
      </c>
      <c r="AQ4" s="34" t="s">
        <v>74</v>
      </c>
      <c r="AR4" s="34"/>
      <c r="AS4" s="35" t="s">
        <v>83</v>
      </c>
      <c r="AT4" s="34">
        <v>127.82</v>
      </c>
      <c r="AU4" s="35">
        <v>134.41999999999999</v>
      </c>
      <c r="AV4" s="34"/>
    </row>
    <row r="5" spans="1:48" ht="15.75" customHeight="1" x14ac:dyDescent="0.25">
      <c r="A5" s="99" t="s">
        <v>168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28"/>
      <c r="Z5" s="34"/>
      <c r="AA5" s="34" t="s">
        <v>72</v>
      </c>
      <c r="AB5" s="34">
        <v>4103</v>
      </c>
      <c r="AC5" s="34">
        <v>1028</v>
      </c>
      <c r="AD5" s="34">
        <f t="shared" si="0"/>
        <v>1023.5</v>
      </c>
      <c r="AE5" s="34">
        <f t="shared" si="1"/>
        <v>0.5010967584694126</v>
      </c>
      <c r="AF5" s="34"/>
      <c r="AG5" s="34" t="s">
        <v>67</v>
      </c>
      <c r="AH5" s="34"/>
      <c r="AI5" s="34"/>
      <c r="AJ5" s="34"/>
      <c r="AK5" s="34"/>
      <c r="AL5" s="34"/>
      <c r="AM5" s="34"/>
      <c r="AN5" s="34"/>
      <c r="AO5" s="35" t="s">
        <v>83</v>
      </c>
      <c r="AP5" s="35">
        <v>119.4</v>
      </c>
      <c r="AQ5" s="35">
        <v>134.41999999999999</v>
      </c>
      <c r="AR5" s="34"/>
      <c r="AS5" s="34"/>
      <c r="AT5" s="34"/>
      <c r="AU5" s="34"/>
      <c r="AV5" s="34"/>
    </row>
    <row r="6" spans="1:48" ht="15.75" customHeight="1" x14ac:dyDescent="0.25">
      <c r="A6" s="97" t="s">
        <v>169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28"/>
      <c r="Z6" s="34"/>
      <c r="AA6" s="34" t="s">
        <v>67</v>
      </c>
      <c r="AB6" s="34"/>
      <c r="AC6" s="34"/>
      <c r="AD6" s="34"/>
      <c r="AE6" s="34"/>
      <c r="AF6" s="34"/>
      <c r="AG6" s="35" t="s">
        <v>83</v>
      </c>
      <c r="AH6" s="35">
        <v>119.4</v>
      </c>
      <c r="AI6" s="35">
        <v>130</v>
      </c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15.75" customHeight="1" x14ac:dyDescent="0.25">
      <c r="A7" s="110" t="s">
        <v>89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28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</row>
    <row r="8" spans="1:48" ht="15.75" customHeight="1" x14ac:dyDescent="0.25">
      <c r="A8" s="97" t="s">
        <v>170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28"/>
      <c r="Z8" s="34"/>
      <c r="AA8" s="36"/>
      <c r="AB8" s="36"/>
      <c r="AC8" s="37"/>
      <c r="AD8" s="36"/>
      <c r="AE8" s="36"/>
      <c r="AF8" s="34"/>
      <c r="AG8" s="36" t="s">
        <v>5</v>
      </c>
      <c r="AH8" s="36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x14ac:dyDescent="0.25">
      <c r="A9" s="59" t="s">
        <v>92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28"/>
      <c r="Z9" s="34"/>
      <c r="AA9" s="36" t="s">
        <v>143</v>
      </c>
      <c r="AB9" s="36"/>
      <c r="AC9" s="37"/>
      <c r="AD9" s="36" t="s">
        <v>142</v>
      </c>
      <c r="AE9" s="36"/>
      <c r="AF9" s="34"/>
      <c r="AG9" s="38" t="s">
        <v>6</v>
      </c>
      <c r="AH9" s="38">
        <v>0.96</v>
      </c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</row>
    <row r="10" spans="1:48" x14ac:dyDescent="0.25">
      <c r="A10" s="61" t="s">
        <v>154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28"/>
      <c r="Z10" s="34"/>
      <c r="AA10" s="39" t="s">
        <v>6</v>
      </c>
      <c r="AB10" s="39">
        <v>0.96</v>
      </c>
      <c r="AC10" s="39"/>
      <c r="AD10" s="39" t="s">
        <v>6</v>
      </c>
      <c r="AE10" s="39">
        <v>0.96</v>
      </c>
      <c r="AF10" s="34"/>
      <c r="AG10" s="38" t="s">
        <v>3</v>
      </c>
      <c r="AH10" s="38">
        <v>1</v>
      </c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x14ac:dyDescent="0.25">
      <c r="A11" s="67"/>
      <c r="B11" s="31"/>
      <c r="C11" s="31"/>
      <c r="D11" s="31"/>
      <c r="E11" s="31"/>
      <c r="F11" s="68"/>
      <c r="G11" s="31"/>
      <c r="H11" s="31"/>
      <c r="I11" s="31"/>
      <c r="J11" s="31"/>
      <c r="K11" s="68"/>
      <c r="L11" s="31"/>
      <c r="M11" s="31"/>
      <c r="N11" s="31"/>
      <c r="O11" s="31"/>
      <c r="P11" s="68"/>
      <c r="Q11" s="31"/>
      <c r="R11" s="31"/>
      <c r="S11" s="31"/>
      <c r="T11" s="31"/>
      <c r="Z11" s="34"/>
      <c r="AA11" s="39" t="s">
        <v>61</v>
      </c>
      <c r="AB11" s="39">
        <v>0.58899999999999997</v>
      </c>
      <c r="AC11" s="39"/>
      <c r="AD11" s="39" t="s">
        <v>3</v>
      </c>
      <c r="AE11" s="39">
        <v>0.84199999999999997</v>
      </c>
      <c r="AF11" s="39"/>
      <c r="AG11" s="39"/>
      <c r="AH11" s="39"/>
      <c r="AI11" s="39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</row>
    <row r="12" spans="1:48" ht="15.75" thickBot="1" x14ac:dyDescent="0.3">
      <c r="A12" s="62" t="s">
        <v>93</v>
      </c>
      <c r="B12" s="28"/>
      <c r="C12" s="28"/>
      <c r="D12" s="28"/>
      <c r="E12" s="28"/>
      <c r="F12" s="47" t="s">
        <v>87</v>
      </c>
      <c r="G12" s="28"/>
      <c r="H12" s="28"/>
      <c r="I12" s="28"/>
      <c r="J12" s="28"/>
      <c r="K12" s="47" t="s">
        <v>75</v>
      </c>
      <c r="L12" s="28"/>
      <c r="M12" s="28"/>
      <c r="N12" s="28"/>
      <c r="O12" s="28"/>
      <c r="P12" s="28"/>
      <c r="Q12" s="47" t="s">
        <v>80</v>
      </c>
      <c r="R12" s="28"/>
      <c r="S12" s="28"/>
      <c r="T12" s="28"/>
      <c r="Z12" s="34"/>
      <c r="AA12" s="39" t="s">
        <v>62</v>
      </c>
      <c r="AB12" s="39">
        <v>0.84199999999999997</v>
      </c>
      <c r="AC12" s="39"/>
      <c r="AD12" s="39"/>
      <c r="AE12" s="39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ht="15.75" customHeight="1" thickBot="1" x14ac:dyDescent="0.3">
      <c r="A13" s="81" t="s">
        <v>153</v>
      </c>
      <c r="B13" s="82"/>
      <c r="C13" s="82"/>
      <c r="D13" s="76" t="s">
        <v>70</v>
      </c>
      <c r="F13" s="63" t="s">
        <v>85</v>
      </c>
      <c r="G13" s="29"/>
      <c r="H13" s="29"/>
      <c r="I13" s="72" t="s">
        <v>70</v>
      </c>
      <c r="K13" s="85" t="s">
        <v>152</v>
      </c>
      <c r="L13" s="86"/>
      <c r="M13" s="86"/>
      <c r="N13" s="78" t="s">
        <v>76</v>
      </c>
      <c r="O13" s="66" t="str">
        <f>IF(AND(ISNUMBER(AA15),ISNUMBER(AB15)), "Valid", "Invalid")</f>
        <v>Valid</v>
      </c>
      <c r="P13" s="28"/>
      <c r="Q13" s="114" t="s">
        <v>81</v>
      </c>
      <c r="R13" s="115"/>
      <c r="S13" s="115"/>
      <c r="T13" s="79">
        <v>150</v>
      </c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48" ht="15.75" customHeight="1" thickBot="1" x14ac:dyDescent="0.3">
      <c r="A14" s="81" t="s">
        <v>88</v>
      </c>
      <c r="B14" s="82"/>
      <c r="C14" s="82"/>
      <c r="D14" s="80">
        <v>175</v>
      </c>
      <c r="F14" s="64" t="s">
        <v>172</v>
      </c>
      <c r="G14" s="65"/>
      <c r="H14" s="65"/>
      <c r="I14" s="73" t="s">
        <v>150</v>
      </c>
      <c r="K14" s="85" t="s">
        <v>151</v>
      </c>
      <c r="L14" s="86"/>
      <c r="M14" s="86"/>
      <c r="N14" s="75" t="s">
        <v>76</v>
      </c>
      <c r="O14" s="66" t="str">
        <f>IF(AND(ISNUMBER(AD15),ISNUMBER(AE15)), "Valid", "Invalid")</f>
        <v>Valid</v>
      </c>
      <c r="P14" s="28"/>
      <c r="Q14" s="85" t="s">
        <v>82</v>
      </c>
      <c r="R14" s="86"/>
      <c r="S14" s="86"/>
      <c r="T14" s="75">
        <v>500</v>
      </c>
      <c r="Z14" s="34"/>
      <c r="AA14" s="40" t="s">
        <v>134</v>
      </c>
      <c r="AB14" s="41" t="s">
        <v>135</v>
      </c>
      <c r="AC14" s="42"/>
      <c r="AD14" s="40" t="s">
        <v>136</v>
      </c>
      <c r="AE14" s="41" t="s">
        <v>137</v>
      </c>
      <c r="AF14" s="34"/>
      <c r="AG14" s="34" t="s">
        <v>149</v>
      </c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8" ht="15.75" customHeight="1" thickBot="1" x14ac:dyDescent="0.3">
      <c r="A15" s="70" t="s">
        <v>156</v>
      </c>
      <c r="B15" s="71"/>
      <c r="C15" s="71"/>
      <c r="D15" s="45">
        <f>IF(D13=AA2,AB2,(IF(D13=AA3,AB3, IF(D13=AA4,AB4,IF(D13=AA5,AB5,IF(D13=AA6,AB6,IF(D13=AA7,I15,"No Value")))))))+D14</f>
        <v>4190</v>
      </c>
      <c r="E15" s="28"/>
      <c r="F15" s="83" t="s">
        <v>73</v>
      </c>
      <c r="G15" s="84"/>
      <c r="H15" s="84"/>
      <c r="I15" s="74">
        <v>4000</v>
      </c>
      <c r="P15" s="27"/>
      <c r="Q15" s="27"/>
      <c r="R15" s="27"/>
      <c r="S15" s="1"/>
      <c r="Z15" s="34"/>
      <c r="AA15" s="34">
        <f>(((IF(AND(D13=AA2,N13=AG2),AH2,IF(AND(D13=AA2,N13=AG3),AH3,IF(AND(D13=AA2,N13=AG4),AH4,IF(AND(D13=AA2,N13=AG5),T13,IF(AND(D13=AA3,N13=AG2),AL2,IF(AND(D13=AA3,N13=AG3),AL3,IF(AND(D13=AA3,N13=AG5),T13,IF(AND(D13=AA4,N13=AG2),AP2,IF(AND(D13=AA4,N13=AG3),AP3,IF(AND(D13=AA4,N13=AG4),AP4,IF(AND(D13=AA5,N13=AG2),AT2,IF(AND(D13=AA5,N13=AG3),AT3,"Invalid Config"))))))))))))))*1.0851)</f>
        <v>135.0038016</v>
      </c>
      <c r="AB15" s="34">
        <f>((IF(AND(D13=AA2,N13=AG2),AI2,IF(AND(D13=AA2,N13=AG3),AI3,IF(AND(D13=AA2,N13=AG4),AI4,IF(AND(D13=AA2,N13=AG5),T14,IF(AND(D13=AA3,N13=AG2),AM2,IF(AND(D13=AA3,N13=AG3),AM3,IF(AND(D13=AA3,N13=AG5),T14,IF(AND(D13=AA4,N13=AG2),AQ2,IF(AND(D13=AA4,N13=AG3),AQ3,IF(AND(D13=AA4,N13=AG4),AQ4,IF(AND(D13=AA4,N13=AG5),T14,IF(AND(D13=AA5,N13=AG2),AU2,IF(AND(D13=AA5,N13=AG3),AU3,IF(AND(D13=AA5,N13=AG5),T14,"Invalid Config"))))))))))))))*2.8825))</f>
        <v>484.99989451249991</v>
      </c>
      <c r="AC15" s="34"/>
      <c r="AD15" s="34">
        <f>((IF(AND(I13=AA2,N14=AG2),AH2,IF(AND(I13=AA2,N14=AG3),AH3,IF(AND(I13=AA2,N14=AG4),AH4,IF(AND(I13=AA2,N14=AG5),T13*0.9216,IF(AND(I13=AA3,N14=AG2),AL2,IF(AND(I13=AA3,N14=AG3),AL3,IF(AND(I13=AA3,N14=AG5),T13*0.9216,IF(AND(I13=AA4,N14=AG2),AP2,IF(AND(I13=AA4,N14=AG3),AP3,IF(AND(I13=AA4,N14=AG4),AP4,IF(AND(I13=AA4,N14=AG5),T13*0.9216,IF(AND(I13=AA5,N14=AG2),AT2,IF(AND(I13=AA5,N14=AG3),AT3,IF(AND(I13=AA5,N14=AG5),T13*0.9216,"Invalid Config"))))))))))))))*1.0851))</f>
        <v>135.0038016</v>
      </c>
      <c r="AE15" s="34">
        <f>((IF(AND(I13=AA2,N14=AG2),AI2,IF(AND(I13=AA2,N14=AG3),AI3,IF(AND(I13=AA2,N14=AG4),AI4,IF(AND(I13=AA2,N14=AG5),T14*0.346921,IF(AND(I13=AA3,N14=AG2),AM2,IF(AND(I13=AA3,N14=AG3),AM3,IF(AND(I13=AA3,N14=AG5),T14*0.346921,IF(AND(I13=AA4,N14=AG2),AQ2,IF(AND(I13=AA4,N14=AG3),AQ3,IF(AND(I13=AA4,N14=AG4),AQ4,IF(AND(I13=AA4,N14=AG5),T14*0.346921,IF(AND(I13=AA5,N14=AG2),AU2,IF(AND(I13=AA5,N14=AG3),AU3,IF(AND(I13=AA5,N14=AG5),T14*0.346921,"Invalid Config"))))))))))))))*2.8825))</f>
        <v>484.99989451249991</v>
      </c>
      <c r="AF15" s="34"/>
      <c r="AG15" s="34" t="s">
        <v>150</v>
      </c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</row>
    <row r="16" spans="1:48" ht="15.75" customHeight="1" thickBot="1" x14ac:dyDescent="0.3">
      <c r="A16" s="34" t="s">
        <v>157</v>
      </c>
      <c r="B16" s="34"/>
      <c r="C16" s="34"/>
      <c r="D16" s="46">
        <f>IF(AND(I13=AA2,I14="No"),AB2,(IF(AND(I13=AA3,I14="No"),AB3, IF(AND(I13=AA4,I14="No"),AB4,IF(AND(I13=AA5,I14="No"),AB5,IF(I14="Yes",I15,"No Value"))))))+D14</f>
        <v>4190</v>
      </c>
      <c r="E16" s="28"/>
      <c r="F16" s="88" t="s">
        <v>171</v>
      </c>
      <c r="G16" s="89"/>
      <c r="H16" s="89"/>
      <c r="I16" s="75">
        <v>55</v>
      </c>
      <c r="K16" s="27"/>
      <c r="L16" s="27"/>
      <c r="M16" s="27"/>
      <c r="P16" s="27"/>
      <c r="Q16" s="27"/>
      <c r="R16" s="27"/>
      <c r="Z16" s="34"/>
      <c r="AA16" s="40" t="s">
        <v>144</v>
      </c>
      <c r="AB16" s="41" t="s">
        <v>145</v>
      </c>
      <c r="AC16" s="34"/>
      <c r="AD16" s="43"/>
      <c r="AE16" s="4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x14ac:dyDescent="0.25">
      <c r="A17" s="28"/>
      <c r="B17" s="28"/>
      <c r="C17" s="28"/>
      <c r="D17" s="28"/>
      <c r="E17" s="28"/>
      <c r="F17" s="1"/>
      <c r="G17" s="1"/>
      <c r="H17" s="1"/>
      <c r="Z17" s="34"/>
      <c r="AA17" s="34">
        <v>0</v>
      </c>
      <c r="AB17" s="34">
        <v>0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1:48" ht="15.75" thickBot="1" x14ac:dyDescent="0.3">
      <c r="A18" s="47" t="s">
        <v>155</v>
      </c>
      <c r="B18" s="28"/>
      <c r="C18" s="28"/>
      <c r="D18" s="28"/>
      <c r="E18" s="28"/>
      <c r="G18" s="87" t="s">
        <v>97</v>
      </c>
      <c r="H18" s="87"/>
      <c r="I18" s="87"/>
      <c r="Z18" s="34"/>
      <c r="AA18" s="42" t="s">
        <v>139</v>
      </c>
      <c r="AB18" s="42" t="s">
        <v>140</v>
      </c>
      <c r="AC18" s="34"/>
      <c r="AD18" s="42" t="s">
        <v>139</v>
      </c>
      <c r="AE18" s="42" t="s">
        <v>140</v>
      </c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ht="75.75" thickBot="1" x14ac:dyDescent="0.3">
      <c r="A19" s="48" t="s">
        <v>146</v>
      </c>
      <c r="B19" s="112" t="s">
        <v>0</v>
      </c>
      <c r="C19" s="113"/>
      <c r="D19" s="49" t="s">
        <v>9</v>
      </c>
      <c r="E19" s="50" t="s">
        <v>1</v>
      </c>
      <c r="G19" s="4" t="s">
        <v>94</v>
      </c>
      <c r="H19" s="26" t="s">
        <v>163</v>
      </c>
      <c r="I19" s="26" t="s">
        <v>115</v>
      </c>
      <c r="J19" s="26" t="s">
        <v>103</v>
      </c>
      <c r="K19" s="26" t="s">
        <v>116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17"/>
      <c r="Z19" s="34"/>
      <c r="AA19" s="34">
        <f>IF(D13=AA2,D15*AE2/2-AH6,IF(D13=AA3,D15*AE3/2-AL4,IF(D13=AA4,D15*AE4/2-AP5,IF(D13=AA5,D15*AE5/2-AT4,IF(AND(D13=AA6,I13=AA2),D15*I16/100/2-AH6,IF(AND(D13=AA6,I13=AA3),D15*I16/100/2-AL4,IF(AND(D13=AA6,I13=AA4),D15*I16/100/2-AP5,IF(AND(D13=AA6,I13=AA5),D15*I16/100/2-AT4))))))))</f>
        <v>888.11150684931499</v>
      </c>
      <c r="AB19" s="34">
        <f>IF(D13=AA2,D15*(1-AE2)/2-AI6,IF(D13=AA3,D15*(1-AE3)/2-AM4,IF(D13=AA4,D15*(1-AE4)/2-AQ5,IF(D13=AA5,D15*(1-AE5)/2-AU4,IF(AND(D13=AA6,I13=AA2),D15*(100-I16)/100/2-AI6,IF(AND(D13=AA6,I13=AA3),D15*(100-I16)/100/2-AM4,IF(AND(D13=AA6,I13=AA4),D15*(100-I16)/100/2-AQ5,IF(AND(D13=AA6,I13=AA5),D15*(100-I16)/100/2-AU4))))))))</f>
        <v>949.06849315068484</v>
      </c>
      <c r="AC19" s="34"/>
      <c r="AD19" s="34">
        <f>IF(AND(I14="No",I13=AA2),D16*AE2/2-AH6,IF(AND(I14="No",I13=AA3),D16*AE3/2-AL4,IF(AND(I14="No",I13=AA4),D16*AE4/2-AP5,IF(AND(I14="No",I13=AA5),D16*AE5/2-AT4,IF(AND(I14="Yes",I13=AA2),D16*I16/100/2-AH6,IF(AND(I14="Yes",I13=AA3),D16*I16/100/2-AL4,IF(AND(I14="Yes",I13=AA4),D16*I16/100/2-AP5,IF(AND(I14="Yes",I13=AA5),D16*I16/100/2-AT4))))))))</f>
        <v>888.11150684931499</v>
      </c>
      <c r="AE19" s="34">
        <f>IF(AND(I14="No",I13=AA2),D16*(1-AE2)/2-AI6,IF(AND(I14="No",I13=AA3),D16*(1-AE3)/2-AM4,IF(AND(I14="No",I13=AA4), D16*(1-AE4)/2-AQ5,IF(AND(I14="No",I13=AA5),D16*(1-AE5)/2-AU4, IF(AND(I14="Yes",I13=AA2),D16*(100-I16)/100/2-AI6,IF(AND(I14="Yes",I13=AA3),D16*(100-I16)/100/2-AM4,IF(AND(I14="Yes",I13=AA4),D16*(100-I16)/100/2-AQ5,IF(AND(I14="Yes",I13=AA5),D16*(100-I16)/100/2-AU4,))))))))</f>
        <v>949.06849315068484</v>
      </c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</row>
    <row r="20" spans="1:48" ht="15.75" thickBot="1" x14ac:dyDescent="0.3">
      <c r="A20" s="51"/>
      <c r="B20" s="52" t="s">
        <v>2</v>
      </c>
      <c r="C20" s="53" t="s">
        <v>3</v>
      </c>
      <c r="D20" s="54" t="s">
        <v>4</v>
      </c>
      <c r="E20" s="53"/>
      <c r="G20" s="100" t="s">
        <v>95</v>
      </c>
      <c r="H20" s="101" t="s">
        <v>102</v>
      </c>
      <c r="I20" s="101" t="s">
        <v>102</v>
      </c>
      <c r="J20" s="102" t="s">
        <v>104</v>
      </c>
      <c r="K20" s="102" t="s">
        <v>104</v>
      </c>
      <c r="L20" s="102"/>
      <c r="M20" s="102"/>
      <c r="N20" s="102"/>
      <c r="O20" s="102"/>
      <c r="P20" s="102"/>
      <c r="Q20" s="102"/>
      <c r="R20" s="102"/>
      <c r="S20" s="102"/>
      <c r="T20" s="104"/>
      <c r="U20" s="104"/>
      <c r="V20" s="104"/>
      <c r="W20" s="104"/>
      <c r="X20" s="103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</row>
    <row r="21" spans="1:48" ht="30.75" customHeight="1" thickBot="1" x14ac:dyDescent="0.3">
      <c r="A21" s="55" t="s">
        <v>147</v>
      </c>
      <c r="B21" s="21">
        <f>IF(O13="Valid", PI()*(SQRT( ((AA15+AA17)*(AB10^2) ) / AA19)), "-")</f>
        <v>1.1758728318032654</v>
      </c>
      <c r="C21" s="5">
        <f>IF(O13="Valid", PI()*(SQRT( ((AB15+AB17)*(AB11^2) ) / AB19)), "-")</f>
        <v>1.3227787561299986</v>
      </c>
      <c r="D21" s="6">
        <f>IF(O13="Valid", C21/B21, "-")</f>
        <v>1.124933513517312</v>
      </c>
      <c r="E21" s="9" t="str">
        <f>IF(O13="Valid", IF(ABS(D21)&lt;1,"PITCH","FLAT RIDE"), "-")</f>
        <v>FLAT RIDE</v>
      </c>
      <c r="G21" s="100"/>
      <c r="H21" s="101"/>
      <c r="I21" s="101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4"/>
      <c r="U21" s="104"/>
      <c r="V21" s="104"/>
      <c r="W21" s="104"/>
      <c r="X21" s="103"/>
      <c r="AH21" s="11"/>
      <c r="AI21" s="11"/>
      <c r="AJ21" s="1"/>
      <c r="AK21" s="1"/>
      <c r="AL21" s="11"/>
      <c r="AM21" s="11"/>
      <c r="AO21" s="1"/>
      <c r="AP21" s="11"/>
      <c r="AQ21" s="11"/>
      <c r="AR21" s="1"/>
      <c r="AS21" s="1"/>
      <c r="AT21" s="11"/>
      <c r="AU21" s="11"/>
    </row>
    <row r="22" spans="1:48" ht="30.75" customHeight="1" thickBot="1" x14ac:dyDescent="0.3">
      <c r="A22" s="56" t="s">
        <v>148</v>
      </c>
      <c r="B22" s="21">
        <f>IF(O14="Valid", PI()*(SQRT( ((AD15+AA17)*(AB10^2) ) / AD19)), "-")</f>
        <v>1.1758728318032654</v>
      </c>
      <c r="C22" s="5">
        <f>IF(O14="Valid", PI()*(SQRT( ((AE15+AB17)*(AB11^2) ) / AE19)), "-")</f>
        <v>1.3227787561299986</v>
      </c>
      <c r="D22" s="6">
        <f>IF(O14="Valid", C22/B22, "-")</f>
        <v>1.124933513517312</v>
      </c>
      <c r="E22" s="9" t="str">
        <f>IF(O14="Valid", IF(ABS(D22)&lt;1,"PITCH","FLAT RIDE"), "-")</f>
        <v>FLAT RIDE</v>
      </c>
      <c r="G22" s="15" t="s">
        <v>98</v>
      </c>
      <c r="H22" s="1">
        <v>194.2</v>
      </c>
      <c r="I22" s="1">
        <v>194.2</v>
      </c>
      <c r="J22" s="1">
        <v>397.6</v>
      </c>
      <c r="K22" s="1">
        <v>285.5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2"/>
      <c r="AH22" s="11"/>
      <c r="AI22" s="11"/>
      <c r="AJ22" s="1"/>
      <c r="AK22" s="1"/>
      <c r="AL22" s="11"/>
      <c r="AM22" s="11"/>
      <c r="AO22" s="1"/>
      <c r="AP22" s="11"/>
      <c r="AQ22" s="11"/>
      <c r="AR22" s="1"/>
      <c r="AS22" s="1"/>
      <c r="AT22" s="11"/>
      <c r="AU22" s="11"/>
    </row>
    <row r="23" spans="1:48" ht="30.75" thickBot="1" x14ac:dyDescent="0.3">
      <c r="G23" s="16" t="s">
        <v>99</v>
      </c>
      <c r="H23" s="13">
        <v>542.5</v>
      </c>
      <c r="I23" s="13">
        <v>542.5</v>
      </c>
      <c r="J23" s="13">
        <v>565.6</v>
      </c>
      <c r="K23" s="13">
        <v>425.6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AH23" s="11"/>
      <c r="AI23" s="11"/>
      <c r="AJ23" s="1"/>
      <c r="AK23" s="1"/>
      <c r="AL23" s="1"/>
      <c r="AM23" s="1"/>
      <c r="AO23" s="1"/>
      <c r="AP23" s="11"/>
      <c r="AQ23" s="11"/>
      <c r="AR23" s="1"/>
      <c r="AS23" s="1"/>
      <c r="AT23" s="1"/>
      <c r="AU23" s="1"/>
    </row>
    <row r="24" spans="1:4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AH24" s="1"/>
      <c r="AI24" s="1"/>
      <c r="AJ24" s="1"/>
      <c r="AK24" s="1"/>
      <c r="AL24" s="1"/>
      <c r="AM24" s="1"/>
      <c r="AO24" s="1"/>
      <c r="AP24" s="1"/>
      <c r="AQ24" s="1"/>
      <c r="AR24" s="1"/>
      <c r="AS24" s="1"/>
      <c r="AT24" s="1"/>
      <c r="AU24" s="1"/>
    </row>
    <row r="25" spans="1:4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AH25" s="1"/>
      <c r="AI25" s="1"/>
      <c r="AJ25" s="1"/>
      <c r="AK25" s="1"/>
      <c r="AL25" s="1"/>
      <c r="AM25" s="1"/>
      <c r="AO25" s="1"/>
      <c r="AP25" s="1"/>
      <c r="AQ25" s="1"/>
      <c r="AR25" s="1"/>
      <c r="AS25" s="1"/>
      <c r="AT25" s="1"/>
      <c r="AU25" s="1"/>
    </row>
    <row r="26" spans="1:4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AH26" s="1"/>
      <c r="AI26" s="1"/>
      <c r="AJ26" s="1"/>
      <c r="AK26" s="1"/>
      <c r="AL26" s="1"/>
      <c r="AM26" s="1"/>
      <c r="AO26" s="1"/>
      <c r="AP26" s="1"/>
      <c r="AQ26" s="1"/>
      <c r="AR26" s="1"/>
      <c r="AS26" s="1"/>
      <c r="AT26" s="1"/>
      <c r="AU26" s="1"/>
    </row>
    <row r="27" spans="1:4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AH27" s="1"/>
      <c r="AI27" s="1"/>
      <c r="AJ27" s="1"/>
      <c r="AK27" s="1"/>
      <c r="AL27" s="1"/>
      <c r="AM27" s="1"/>
      <c r="AO27" s="1"/>
      <c r="AP27" s="1"/>
      <c r="AQ27" s="1"/>
      <c r="AR27" s="1"/>
      <c r="AS27" s="1"/>
      <c r="AT27" s="1"/>
      <c r="AU27" s="1"/>
    </row>
    <row r="28" spans="1:4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AO28" s="1"/>
      <c r="AP28" s="1"/>
      <c r="AQ28" s="1"/>
      <c r="AR28" s="1"/>
      <c r="AS28" s="1"/>
      <c r="AT28" s="1"/>
      <c r="AU28" s="1"/>
    </row>
  </sheetData>
  <sheetProtection algorithmName="SHA-512" hashValue="7MlRA/IS15CMdNmaK3yHEoeFlRXt5PL5q6CwkCBX4mHGX4fNCS6/EMUvl0BwKc7+PAJO7u1Z97G8Itewryvogw==" saltValue="aB0W3mfe7zLaRVjO8Nj2WQ==" spinCount="100000" sheet="1" objects="1" scenarios="1"/>
  <mergeCells count="37">
    <mergeCell ref="V20:V21"/>
    <mergeCell ref="W20:W21"/>
    <mergeCell ref="X20:X21"/>
    <mergeCell ref="P20:P21"/>
    <mergeCell ref="Q20:Q21"/>
    <mergeCell ref="R20:R21"/>
    <mergeCell ref="S20:S21"/>
    <mergeCell ref="T20:T21"/>
    <mergeCell ref="U20:U21"/>
    <mergeCell ref="O20:O21"/>
    <mergeCell ref="F15:H15"/>
    <mergeCell ref="F16:H16"/>
    <mergeCell ref="G18:I18"/>
    <mergeCell ref="B19:C19"/>
    <mergeCell ref="G20:G21"/>
    <mergeCell ref="H20:H21"/>
    <mergeCell ref="I20:I21"/>
    <mergeCell ref="J20:J21"/>
    <mergeCell ref="K20:K21"/>
    <mergeCell ref="L20:L21"/>
    <mergeCell ref="M20:M21"/>
    <mergeCell ref="N20:N21"/>
    <mergeCell ref="A13:C13"/>
    <mergeCell ref="K13:M13"/>
    <mergeCell ref="Q13:S13"/>
    <mergeCell ref="A14:C14"/>
    <mergeCell ref="K14:M14"/>
    <mergeCell ref="Q14:S14"/>
    <mergeCell ref="A6:S6"/>
    <mergeCell ref="A8:S8"/>
    <mergeCell ref="A1:F1"/>
    <mergeCell ref="A2:F2"/>
    <mergeCell ref="A4:R4"/>
    <mergeCell ref="A5:S5"/>
    <mergeCell ref="A7:S7"/>
    <mergeCell ref="H1:L1"/>
    <mergeCell ref="H2:L2"/>
  </mergeCells>
  <conditionalFormatting sqref="O14">
    <cfRule type="cellIs" dxfId="7" priority="7" operator="equal">
      <formula>"Invalid"</formula>
    </cfRule>
    <cfRule type="cellIs" dxfId="6" priority="8" operator="equal">
      <formula>"Valid"</formula>
    </cfRule>
  </conditionalFormatting>
  <conditionalFormatting sqref="E21">
    <cfRule type="cellIs" dxfId="5" priority="5" operator="equal">
      <formula>"PITCH"</formula>
    </cfRule>
    <cfRule type="cellIs" dxfId="4" priority="6" operator="equal">
      <formula>"FLAT RIDE"</formula>
    </cfRule>
  </conditionalFormatting>
  <conditionalFormatting sqref="E22">
    <cfRule type="cellIs" dxfId="3" priority="3" operator="equal">
      <formula>"PITCH"</formula>
    </cfRule>
    <cfRule type="cellIs" dxfId="2" priority="4" operator="equal">
      <formula>"FLAT RIDE"</formula>
    </cfRule>
  </conditionalFormatting>
  <conditionalFormatting sqref="O13">
    <cfRule type="cellIs" dxfId="1" priority="1" operator="equal">
      <formula>"Invalid"</formula>
    </cfRule>
    <cfRule type="cellIs" dxfId="0" priority="2" operator="equal">
      <formula>"Valid"</formula>
    </cfRule>
  </conditionalFormatting>
  <dataValidations disablePrompts="1" count="5">
    <dataValidation type="list" allowBlank="1" showInputMessage="1" showErrorMessage="1" sqref="I13 D13">
      <formula1>$AF$2:$AF$3</formula1>
    </dataValidation>
    <dataValidation type="list" allowBlank="1" showInputMessage="1" showErrorMessage="1" sqref="N14">
      <formula1>$AG$2:$AG$4</formula1>
    </dataValidation>
    <dataValidation type="list" allowBlank="1" showInputMessage="1" showErrorMessage="1" sqref="N13">
      <formula1>$AG$2:$AG$3</formula1>
    </dataValidation>
    <dataValidation type="list" allowBlank="1" showInputMessage="1" showErrorMessage="1" sqref="I14">
      <formula1>$AG$14:$AG$15</formula1>
    </dataValidation>
    <dataValidation type="whole" allowBlank="1" showInputMessage="1" showErrorMessage="1" sqref="D14">
      <formula1>0</formula1>
      <formula2>2000</formula2>
    </dataValidation>
  </dataValidations>
  <hyperlinks>
    <hyperlink ref="H2" r:id="rId1"/>
  </hyperlinks>
  <pageMargins left="0.7" right="0.7" top="0.75" bottom="0.75" header="0.3" footer="0.3"/>
  <pageSetup orientation="portrait" horizontalDpi="4294967293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5" x14ac:dyDescent="0.25"/>
  <sheetData>
    <row r="1" spans="1:5" x14ac:dyDescent="0.25">
      <c r="A1" t="s">
        <v>7</v>
      </c>
      <c r="B1" t="s">
        <v>8</v>
      </c>
      <c r="C1" t="s">
        <v>60</v>
      </c>
      <c r="D1" t="s">
        <v>59</v>
      </c>
      <c r="E1" t="s">
        <v>10</v>
      </c>
    </row>
    <row r="2" spans="1:5" x14ac:dyDescent="0.25">
      <c r="A2" t="s">
        <v>11</v>
      </c>
      <c r="B2" t="s">
        <v>14</v>
      </c>
    </row>
    <row r="3" spans="1:5" x14ac:dyDescent="0.25">
      <c r="A3" t="s">
        <v>12</v>
      </c>
      <c r="B3" t="s">
        <v>13</v>
      </c>
    </row>
    <row r="4" spans="1:5" x14ac:dyDescent="0.25">
      <c r="A4" t="s">
        <v>15</v>
      </c>
      <c r="B4" t="s">
        <v>16</v>
      </c>
    </row>
    <row r="5" spans="1:5" x14ac:dyDescent="0.25">
      <c r="A5" t="s">
        <v>17</v>
      </c>
      <c r="B5" t="s">
        <v>18</v>
      </c>
    </row>
    <row r="6" spans="1:5" x14ac:dyDescent="0.25">
      <c r="A6" t="s">
        <v>19</v>
      </c>
      <c r="B6" t="s">
        <v>20</v>
      </c>
    </row>
    <row r="7" spans="1:5" x14ac:dyDescent="0.25">
      <c r="A7" t="s">
        <v>21</v>
      </c>
      <c r="B7" t="s">
        <v>22</v>
      </c>
    </row>
    <row r="8" spans="1:5" x14ac:dyDescent="0.25">
      <c r="A8" t="s">
        <v>23</v>
      </c>
      <c r="B8" t="s">
        <v>24</v>
      </c>
    </row>
    <row r="9" spans="1:5" x14ac:dyDescent="0.25">
      <c r="A9" t="s">
        <v>25</v>
      </c>
      <c r="B9" t="s">
        <v>26</v>
      </c>
    </row>
    <row r="10" spans="1:5" x14ac:dyDescent="0.25">
      <c r="A10" t="s">
        <v>27</v>
      </c>
      <c r="B10" t="s">
        <v>28</v>
      </c>
    </row>
    <row r="11" spans="1:5" x14ac:dyDescent="0.25">
      <c r="A11" t="s">
        <v>29</v>
      </c>
      <c r="B11" t="s">
        <v>30</v>
      </c>
    </row>
    <row r="12" spans="1:5" x14ac:dyDescent="0.25">
      <c r="A12" t="s">
        <v>31</v>
      </c>
      <c r="B12" t="s">
        <v>32</v>
      </c>
    </row>
    <row r="13" spans="1:5" x14ac:dyDescent="0.25">
      <c r="A13" t="s">
        <v>33</v>
      </c>
      <c r="B13" t="s">
        <v>34</v>
      </c>
    </row>
    <row r="14" spans="1:5" x14ac:dyDescent="0.25">
      <c r="A14" t="s">
        <v>35</v>
      </c>
      <c r="B14" t="s">
        <v>36</v>
      </c>
    </row>
    <row r="15" spans="1:5" x14ac:dyDescent="0.25">
      <c r="A15" t="s">
        <v>37</v>
      </c>
      <c r="B15" t="s">
        <v>38</v>
      </c>
    </row>
    <row r="16" spans="1:5" x14ac:dyDescent="0.25">
      <c r="A16" t="s">
        <v>39</v>
      </c>
      <c r="B16" t="s">
        <v>40</v>
      </c>
    </row>
    <row r="17" spans="1:2" x14ac:dyDescent="0.25">
      <c r="A17" t="s">
        <v>41</v>
      </c>
      <c r="B17" t="s">
        <v>42</v>
      </c>
    </row>
    <row r="18" spans="1:2" x14ac:dyDescent="0.25">
      <c r="A18" t="s">
        <v>43</v>
      </c>
      <c r="B18" t="s">
        <v>44</v>
      </c>
    </row>
    <row r="19" spans="1:2" x14ac:dyDescent="0.25">
      <c r="A19" t="s">
        <v>45</v>
      </c>
      <c r="B19" t="s">
        <v>46</v>
      </c>
    </row>
    <row r="20" spans="1:2" x14ac:dyDescent="0.25">
      <c r="A20" t="s">
        <v>47</v>
      </c>
      <c r="B20" t="s">
        <v>48</v>
      </c>
    </row>
    <row r="21" spans="1:2" x14ac:dyDescent="0.25">
      <c r="A21" t="s">
        <v>49</v>
      </c>
      <c r="B21" t="s">
        <v>50</v>
      </c>
    </row>
    <row r="22" spans="1:2" x14ac:dyDescent="0.25">
      <c r="A22" t="s">
        <v>51</v>
      </c>
      <c r="B22" t="s">
        <v>52</v>
      </c>
    </row>
    <row r="23" spans="1:2" x14ac:dyDescent="0.25">
      <c r="A23" t="s">
        <v>53</v>
      </c>
      <c r="B23" t="s">
        <v>54</v>
      </c>
    </row>
    <row r="24" spans="1:2" x14ac:dyDescent="0.25">
      <c r="A24" t="s">
        <v>55</v>
      </c>
      <c r="B24" t="s">
        <v>56</v>
      </c>
    </row>
    <row r="25" spans="1:2" x14ac:dyDescent="0.25">
      <c r="A25" t="s">
        <v>57</v>
      </c>
      <c r="B2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F30 3-Series Sedan</vt:lpstr>
      <vt:lpstr>F31 3-Series Wagon</vt:lpstr>
      <vt:lpstr>F32 4-Series Coupe</vt:lpstr>
      <vt:lpstr>F36 4-Series Gran Coupe</vt:lpstr>
      <vt:lpstr>F34 3-Series Gran Turismo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2017-02-12T18:50:55Z</dcterms:created>
  <dcterms:modified xsi:type="dcterms:W3CDTF">2020-05-18T05:43:32Z</dcterms:modified>
</cp:coreProperties>
</file>